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11760" activeTab="0"/>
  </bookViews>
  <sheets>
    <sheet name="Cálculo de necesidades calórica" sheetId="1" r:id="rId1"/>
    <sheet name="Cuadrante" sheetId="2" r:id="rId2"/>
    <sheet name="Hoja de informes" sheetId="3" r:id="rId3"/>
  </sheets>
  <definedNames/>
  <calcPr fullCalcOnLoad="1"/>
</workbook>
</file>

<file path=xl/sharedStrings.xml><?xml version="1.0" encoding="utf-8"?>
<sst xmlns="http://schemas.openxmlformats.org/spreadsheetml/2006/main" count="126" uniqueCount="94">
  <si>
    <t>EDAD</t>
  </si>
  <si>
    <t>PESO en Kg</t>
  </si>
  <si>
    <t>TALLA en m</t>
  </si>
  <si>
    <t>Actividad</t>
  </si>
  <si>
    <t>Sexo (h-m)</t>
  </si>
  <si>
    <t>Peso máximo aceptable:</t>
  </si>
  <si>
    <t>Reparto de carbohidratos diarios</t>
  </si>
  <si>
    <t>Reparto en 5 comidas</t>
  </si>
  <si>
    <t>Desayuno:</t>
  </si>
  <si>
    <t>gr. de CH</t>
  </si>
  <si>
    <t>Media mañana:</t>
  </si>
  <si>
    <t>Almuerzo:</t>
  </si>
  <si>
    <t>Merienda:</t>
  </si>
  <si>
    <t>Cena:</t>
  </si>
  <si>
    <t>Reparto en 3 comidas</t>
  </si>
  <si>
    <t>&lt; 40 años</t>
  </si>
  <si>
    <t>40-49 años</t>
  </si>
  <si>
    <t>50-59 años</t>
  </si>
  <si>
    <t>60-69 años</t>
  </si>
  <si>
    <t>&gt;= de70 años</t>
  </si>
  <si>
    <t>Act. basal h normopeso</t>
  </si>
  <si>
    <t>Act. basal m normopeso</t>
  </si>
  <si>
    <t>Act. mínima h normopeso</t>
  </si>
  <si>
    <t>Act. mínima m normopeso</t>
  </si>
  <si>
    <t>Act. ligera h normopeso</t>
  </si>
  <si>
    <t>Act. ligera m normopeso</t>
  </si>
  <si>
    <t>Act. media h normopeso</t>
  </si>
  <si>
    <t>Act. media m normopeso</t>
  </si>
  <si>
    <t>Act. intensa h normopeso</t>
  </si>
  <si>
    <t>Act. intensa m normopeso</t>
  </si>
  <si>
    <t>Act. basal h sobrepeso</t>
  </si>
  <si>
    <t>Act. basal m sobrepeso</t>
  </si>
  <si>
    <t>Act. mínima h sobrepeso</t>
  </si>
  <si>
    <t>Act. mínima m sobrepeso</t>
  </si>
  <si>
    <t>Act. ligera h sobrepeso</t>
  </si>
  <si>
    <t>Act. ligera m sobrepeso</t>
  </si>
  <si>
    <t>Act. media h sobrepeso</t>
  </si>
  <si>
    <t>Act. media m sobrepeso</t>
  </si>
  <si>
    <t>Act. intensa h sobrepeso</t>
  </si>
  <si>
    <t>Act. intensa m sobrepeso</t>
  </si>
  <si>
    <t>Act. basal h obesidad</t>
  </si>
  <si>
    <t>Act. basal m obesidad</t>
  </si>
  <si>
    <t>Act. mínima h obesidad</t>
  </si>
  <si>
    <t>Act. mínima m obesidad</t>
  </si>
  <si>
    <t>Act. ligera h obesidad</t>
  </si>
  <si>
    <t>Act. ligera m obesidad</t>
  </si>
  <si>
    <t>Act. media h obesidad</t>
  </si>
  <si>
    <t>Act. media m obesidad</t>
  </si>
  <si>
    <t>Act. intensa h obesidad</t>
  </si>
  <si>
    <t>Act. intensa m obesidad</t>
  </si>
  <si>
    <t>El índice de masa muscular se calcula dividiendo el peso por la talla al cuadrado</t>
  </si>
  <si>
    <t>&lt;--Se considera normopeso si el I.M.C. &lt; 25</t>
  </si>
  <si>
    <t>&lt;--Se considera sobrepeso si el I.M.C. es &gt;25 y &lt;30</t>
  </si>
  <si>
    <t>&lt;--Se considera obesidad si el I.M.C. es &gt; 30</t>
  </si>
  <si>
    <t>El peso aceptable se calcula multiplicando 27 (h) o 25 (m) por la talla al cuadrado</t>
  </si>
  <si>
    <t>Las Kcal diarias se calculan multipicando una constante por el peso aceptable</t>
  </si>
  <si>
    <t>Según el sexo y la actividad del paciente, se corrigen las necesidades calóricas</t>
  </si>
  <si>
    <t xml:space="preserve">Según la edad y el sexo del paciente, se corrigen las necesidades calóricas </t>
  </si>
  <si>
    <t>De acuerdo a los datos de somatometría, elegiremos las Kcal de la dieta,</t>
  </si>
  <si>
    <t>teniendo en cuenta si hay nomopeso, sobrepeso u obesidad.</t>
  </si>
  <si>
    <t>Introducimos las calorías en la tabla de Reparto de carbohidratos diarios y no da</t>
  </si>
  <si>
    <t xml:space="preserve">el peso de H. de C. que debe ingerír en cada comida y las raciones correspondientes. </t>
  </si>
  <si>
    <t>Calorías totales en 24 horas:</t>
  </si>
  <si>
    <t>Raciones de H de C</t>
  </si>
  <si>
    <t>Calorías por comidas</t>
  </si>
  <si>
    <t>Calorías de HdC en 24 horas</t>
  </si>
  <si>
    <t>La talla se debe introducir en metros, con los cm. como decimales</t>
  </si>
  <si>
    <t>La actividad puede ser: basal, mínima, ligera, media e intensa</t>
  </si>
  <si>
    <t>Catalogación del peso:</t>
  </si>
  <si>
    <t>Gerena (Sevilla)</t>
  </si>
  <si>
    <t xml:space="preserve">              carlosgerena@yahoo.es</t>
  </si>
  <si>
    <r>
      <t xml:space="preserve">       </t>
    </r>
    <r>
      <rPr>
        <b/>
        <sz val="16"/>
        <color indexed="30"/>
        <rFont val="Calibri"/>
        <family val="2"/>
      </rPr>
      <t>EN DIABÉTICOS</t>
    </r>
  </si>
  <si>
    <t xml:space="preserve">con datos aportados por Augusto A. Pérez Mateo. </t>
  </si>
  <si>
    <t xml:space="preserve">                Enfermeros</t>
  </si>
  <si>
    <t>media</t>
  </si>
  <si>
    <t>Paciente:</t>
  </si>
  <si>
    <t>h</t>
  </si>
  <si>
    <t>fecha de valoración:</t>
  </si>
  <si>
    <t>Al paciente:</t>
  </si>
  <si>
    <t xml:space="preserve">se le aconseja seguir una dieta de </t>
  </si>
  <si>
    <t>repartiendo las raciones de hidratos de carbono</t>
  </si>
  <si>
    <t>según la siguiente distribución:</t>
  </si>
  <si>
    <t>Si realiza 3 comidas al día:</t>
  </si>
  <si>
    <t>raciones de Hidratos de Carbono</t>
  </si>
  <si>
    <t>Si realiza 5 comidas al día, que es lo ideal:</t>
  </si>
  <si>
    <t>calorías/24h</t>
  </si>
  <si>
    <t>Consulta de enfermería de M. Carlos Cid</t>
  </si>
  <si>
    <t>Juan Español</t>
  </si>
  <si>
    <t>En Gerena  (Sevilla)</t>
  </si>
  <si>
    <t>Calculadora elaborada por Manuel Carlos Cid González y Blanca Cid Alcón</t>
  </si>
  <si>
    <t xml:space="preserve">     CALCULADORA DE NECESIDADES CALÓRICAS</t>
  </si>
  <si>
    <t xml:space="preserve">     www.carlosgerena.es</t>
  </si>
  <si>
    <t xml:space="preserve">          www.carlosgerena.es</t>
  </si>
  <si>
    <t xml:space="preserve">Índice de masa corporal: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</si>
</sst>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\ _€_-;\-* #,##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6"/>
      <color indexed="3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6"/>
      <color rgb="FF0070C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FE9C"/>
        <bgColor indexed="64"/>
      </patternFill>
    </fill>
    <fill>
      <patternFill patternType="solid">
        <fgColor rgb="FFFFD2C9"/>
        <bgColor indexed="64"/>
      </patternFill>
    </fill>
    <fill>
      <patternFill patternType="solid">
        <fgColor indexed="24"/>
        <bgColor indexed="64"/>
      </patternFill>
    </fill>
    <fill>
      <gradientFill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>
        <stop position="0">
          <color theme="0"/>
        </stop>
        <stop position="0.5">
          <color theme="4"/>
        </stop>
        <stop position="1">
          <color theme="0"/>
        </stop>
      </gradientFill>
    </fill>
    <fill>
      <gradientFill>
        <stop position="0">
          <color theme="0"/>
        </stop>
        <stop position="1">
          <color theme="4"/>
        </stop>
      </gradient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>
        <stop position="0">
          <color theme="0"/>
        </stop>
        <stop position="0.5">
          <color theme="4"/>
        </stop>
        <stop position="1">
          <color theme="0"/>
        </stop>
      </gradient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gradientFill>
        <stop position="0">
          <color theme="0"/>
        </stop>
        <stop position="0.5">
          <color theme="4"/>
        </stop>
        <stop position="1">
          <color theme="0"/>
        </stop>
      </gradient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4" borderId="10" xfId="0" applyFill="1" applyBorder="1" applyAlignment="1">
      <alignment/>
    </xf>
    <xf numFmtId="1" fontId="4" fillId="4" borderId="10" xfId="0" applyNumberFormat="1" applyFont="1" applyFill="1" applyBorder="1" applyAlignment="1">
      <alignment horizontal="left" indent="3"/>
    </xf>
    <xf numFmtId="0" fontId="0" fillId="33" borderId="10" xfId="0" applyFill="1" applyBorder="1" applyAlignment="1">
      <alignment/>
    </xf>
    <xf numFmtId="1" fontId="4" fillId="33" borderId="10" xfId="0" applyNumberFormat="1" applyFont="1" applyFill="1" applyBorder="1" applyAlignment="1">
      <alignment horizontal="left" indent="3"/>
    </xf>
    <xf numFmtId="0" fontId="0" fillId="34" borderId="10" xfId="0" applyFill="1" applyBorder="1" applyAlignment="1">
      <alignment/>
    </xf>
    <xf numFmtId="1" fontId="4" fillId="34" borderId="10" xfId="0" applyNumberFormat="1" applyFont="1" applyFill="1" applyBorder="1" applyAlignment="1">
      <alignment horizontal="left" indent="3"/>
    </xf>
    <xf numFmtId="0" fontId="0" fillId="0" borderId="0" xfId="0" applyAlignment="1" applyProtection="1">
      <alignment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5" borderId="12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 locked="0"/>
    </xf>
    <xf numFmtId="0" fontId="0" fillId="36" borderId="0" xfId="0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0" fillId="38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9" borderId="13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hidden="1" locked="0"/>
    </xf>
    <xf numFmtId="0" fontId="0" fillId="0" borderId="15" xfId="0" applyBorder="1" applyAlignment="1" applyProtection="1">
      <alignment/>
      <protection hidden="1" locked="0"/>
    </xf>
    <xf numFmtId="2" fontId="0" fillId="0" borderId="12" xfId="0" applyNumberFormat="1" applyBorder="1" applyAlignment="1" applyProtection="1">
      <alignment horizontal="center"/>
      <protection hidden="1" locked="0"/>
    </xf>
    <xf numFmtId="0" fontId="0" fillId="0" borderId="10" xfId="0" applyFont="1" applyFill="1" applyBorder="1" applyAlignment="1" applyProtection="1">
      <alignment/>
      <protection hidden="1" locked="0"/>
    </xf>
    <xf numFmtId="0" fontId="0" fillId="0" borderId="16" xfId="0" applyFill="1" applyBorder="1" applyAlignment="1" applyProtection="1">
      <alignment/>
      <protection hidden="1" locked="0"/>
    </xf>
    <xf numFmtId="2" fontId="0" fillId="0" borderId="12" xfId="0" applyNumberFormat="1" applyFill="1" applyBorder="1" applyAlignment="1" applyProtection="1">
      <alignment horizontal="center" wrapText="1"/>
      <protection hidden="1" locked="0"/>
    </xf>
    <xf numFmtId="0" fontId="0" fillId="0" borderId="17" xfId="0" applyFill="1" applyBorder="1" applyAlignment="1" applyProtection="1">
      <alignment/>
      <protection hidden="1" locked="0"/>
    </xf>
    <xf numFmtId="0" fontId="2" fillId="0" borderId="18" xfId="0" applyFont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0" fillId="40" borderId="19" xfId="0" applyFill="1" applyBorder="1" applyAlignment="1" applyProtection="1">
      <alignment/>
      <protection hidden="1" locked="0"/>
    </xf>
    <xf numFmtId="0" fontId="0" fillId="40" borderId="20" xfId="0" applyFill="1" applyBorder="1" applyAlignment="1" applyProtection="1">
      <alignment/>
      <protection hidden="1" locked="0"/>
    </xf>
    <xf numFmtId="0" fontId="0" fillId="40" borderId="21" xfId="0" applyFill="1" applyBorder="1" applyAlignment="1" applyProtection="1">
      <alignment/>
      <protection hidden="1" locked="0"/>
    </xf>
    <xf numFmtId="0" fontId="45" fillId="14" borderId="22" xfId="0" applyFont="1" applyFill="1" applyBorder="1" applyAlignment="1" applyProtection="1">
      <alignment/>
      <protection hidden="1" locked="0"/>
    </xf>
    <xf numFmtId="0" fontId="0" fillId="14" borderId="0" xfId="0" applyFill="1" applyBorder="1" applyAlignment="1" applyProtection="1">
      <alignment/>
      <protection hidden="1" locked="0"/>
    </xf>
    <xf numFmtId="165" fontId="0" fillId="41" borderId="18" xfId="48" applyNumberFormat="1" applyFont="1" applyFill="1" applyBorder="1" applyAlignment="1" applyProtection="1">
      <alignment/>
      <protection hidden="1" locked="0"/>
    </xf>
    <xf numFmtId="0" fontId="45" fillId="2" borderId="17" xfId="0" applyFont="1" applyFill="1" applyBorder="1" applyAlignment="1" applyProtection="1">
      <alignment/>
      <protection hidden="1" locked="0"/>
    </xf>
    <xf numFmtId="0" fontId="0" fillId="2" borderId="15" xfId="0" applyFill="1" applyBorder="1" applyAlignment="1" applyProtection="1">
      <alignment/>
      <protection hidden="1" locked="0"/>
    </xf>
    <xf numFmtId="165" fontId="0" fillId="42" borderId="18" xfId="48" applyNumberFormat="1" applyFont="1" applyFill="1" applyBorder="1" applyAlignment="1" applyProtection="1">
      <alignment/>
      <protection hidden="1" locked="0"/>
    </xf>
    <xf numFmtId="0" fontId="0" fillId="40" borderId="17" xfId="0" applyFont="1" applyFill="1" applyBorder="1" applyAlignment="1" applyProtection="1">
      <alignment/>
      <protection hidden="1" locked="0"/>
    </xf>
    <xf numFmtId="0" fontId="0" fillId="40" borderId="15" xfId="0" applyFill="1" applyBorder="1" applyAlignment="1" applyProtection="1">
      <alignment horizontal="center"/>
      <protection hidden="1" locked="0"/>
    </xf>
    <xf numFmtId="0" fontId="0" fillId="40" borderId="12" xfId="0" applyFill="1" applyBorder="1" applyAlignment="1" applyProtection="1">
      <alignment/>
      <protection hidden="1" locked="0"/>
    </xf>
    <xf numFmtId="0" fontId="0" fillId="43" borderId="18" xfId="0" applyFill="1" applyBorder="1" applyAlignment="1" applyProtection="1">
      <alignment horizontal="center" wrapText="1"/>
      <protection hidden="1" locked="0"/>
    </xf>
    <xf numFmtId="0" fontId="0" fillId="16" borderId="10" xfId="0" applyFill="1" applyBorder="1" applyAlignment="1" applyProtection="1">
      <alignment horizontal="center" wrapText="1"/>
      <protection hidden="1" locked="0"/>
    </xf>
    <xf numFmtId="0" fontId="0" fillId="0" borderId="17" xfId="0" applyFont="1" applyBorder="1" applyAlignment="1" applyProtection="1">
      <alignment/>
      <protection hidden="1" locked="0"/>
    </xf>
    <xf numFmtId="1" fontId="0" fillId="0" borderId="15" xfId="0" applyNumberFormat="1" applyBorder="1" applyAlignment="1" applyProtection="1">
      <alignment/>
      <protection hidden="1" locked="0"/>
    </xf>
    <xf numFmtId="0" fontId="0" fillId="0" borderId="18" xfId="0" applyFont="1" applyBorder="1" applyAlignment="1" applyProtection="1">
      <alignment/>
      <protection hidden="1" locked="0"/>
    </xf>
    <xf numFmtId="164" fontId="0" fillId="0" borderId="18" xfId="0" applyNumberFormat="1" applyBorder="1" applyAlignment="1" applyProtection="1">
      <alignment horizontal="center"/>
      <protection hidden="1" locked="0"/>
    </xf>
    <xf numFmtId="2" fontId="0" fillId="0" borderId="10" xfId="0" applyNumberFormat="1" applyBorder="1" applyAlignment="1" applyProtection="1">
      <alignment horizontal="center"/>
      <protection hidden="1" locked="0"/>
    </xf>
    <xf numFmtId="0" fontId="3" fillId="0" borderId="17" xfId="0" applyFont="1" applyBorder="1" applyAlignment="1" applyProtection="1">
      <alignment/>
      <protection hidden="1" locked="0"/>
    </xf>
    <xf numFmtId="2" fontId="0" fillId="0" borderId="0" xfId="0" applyNumberFormat="1" applyAlignment="1" applyProtection="1">
      <alignment/>
      <protection hidden="1" locked="0"/>
    </xf>
    <xf numFmtId="0" fontId="0" fillId="40" borderId="23" xfId="0" applyFont="1" applyFill="1" applyBorder="1" applyAlignment="1" applyProtection="1">
      <alignment/>
      <protection hidden="1" locked="0"/>
    </xf>
    <xf numFmtId="0" fontId="0" fillId="40" borderId="24" xfId="0" applyFill="1" applyBorder="1" applyAlignment="1" applyProtection="1">
      <alignment horizontal="center" wrapText="1"/>
      <protection hidden="1" locked="0"/>
    </xf>
    <xf numFmtId="0" fontId="0" fillId="40" borderId="25" xfId="0" applyFill="1" applyBorder="1" applyAlignment="1" applyProtection="1">
      <alignment/>
      <protection hidden="1" locked="0"/>
    </xf>
    <xf numFmtId="0" fontId="0" fillId="0" borderId="16" xfId="0" applyFont="1" applyBorder="1" applyAlignment="1" applyProtection="1">
      <alignment/>
      <protection hidden="1" locked="0"/>
    </xf>
    <xf numFmtId="1" fontId="0" fillId="0" borderId="14" xfId="0" applyNumberFormat="1" applyBorder="1" applyAlignment="1" applyProtection="1">
      <alignment/>
      <protection hidden="1" locked="0"/>
    </xf>
    <xf numFmtId="0" fontId="0" fillId="0" borderId="12" xfId="0" applyFont="1" applyBorder="1" applyAlignment="1" applyProtection="1">
      <alignment/>
      <protection hidden="1" locked="0"/>
    </xf>
    <xf numFmtId="0" fontId="0" fillId="44" borderId="0" xfId="0" applyFill="1" applyBorder="1" applyAlignment="1" applyProtection="1">
      <alignment/>
      <protection hidden="1" locked="0"/>
    </xf>
    <xf numFmtId="0" fontId="4" fillId="45" borderId="0" xfId="0" applyFont="1" applyFill="1" applyAlignment="1" applyProtection="1">
      <alignment/>
      <protection locked="0"/>
    </xf>
    <xf numFmtId="0" fontId="4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7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48" fillId="0" borderId="0" xfId="0" applyFont="1" applyFill="1" applyBorder="1" applyAlignment="1" applyProtection="1">
      <alignment horizontal="right"/>
      <protection/>
    </xf>
    <xf numFmtId="0" fontId="48" fillId="0" borderId="0" xfId="0" applyFont="1" applyBorder="1" applyAlignment="1" applyProtection="1">
      <alignment/>
      <protection locked="0"/>
    </xf>
    <xf numFmtId="22" fontId="0" fillId="0" borderId="0" xfId="0" applyNumberFormat="1" applyBorder="1" applyAlignment="1" applyProtection="1">
      <alignment/>
      <protection/>
    </xf>
    <xf numFmtId="0" fontId="0" fillId="46" borderId="25" xfId="0" applyFont="1" applyFill="1" applyBorder="1" applyAlignment="1" applyProtection="1">
      <alignment horizontal="center"/>
      <protection/>
    </xf>
    <xf numFmtId="0" fontId="0" fillId="46" borderId="25" xfId="0" applyFill="1" applyBorder="1" applyAlignment="1" applyProtection="1">
      <alignment horizontal="center"/>
      <protection/>
    </xf>
    <xf numFmtId="0" fontId="48" fillId="0" borderId="0" xfId="0" applyFont="1" applyFill="1" applyBorder="1" applyAlignment="1" applyProtection="1">
      <alignment horizontal="left"/>
      <protection/>
    </xf>
    <xf numFmtId="22" fontId="0" fillId="0" borderId="0" xfId="0" applyNumberFormat="1" applyBorder="1" applyAlignment="1" applyProtection="1">
      <alignment shrinkToFit="1"/>
      <protection/>
    </xf>
    <xf numFmtId="0" fontId="48" fillId="0" borderId="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 hidden="1" locked="0"/>
    </xf>
    <xf numFmtId="0" fontId="0" fillId="0" borderId="26" xfId="0" applyFont="1" applyBorder="1" applyAlignment="1" applyProtection="1">
      <alignment/>
      <protection hidden="1" locked="0"/>
    </xf>
    <xf numFmtId="0" fontId="0" fillId="0" borderId="27" xfId="0" applyFont="1" applyBorder="1" applyAlignment="1" applyProtection="1">
      <alignment/>
      <protection hidden="1" locked="0"/>
    </xf>
    <xf numFmtId="165" fontId="0" fillId="47" borderId="0" xfId="48" applyNumberFormat="1" applyFont="1" applyFill="1" applyBorder="1" applyAlignment="1" applyProtection="1">
      <alignment/>
      <protection hidden="1"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center"/>
      <protection hidden="1"/>
    </xf>
    <xf numFmtId="164" fontId="0" fillId="0" borderId="32" xfId="0" applyNumberFormat="1" applyBorder="1" applyAlignment="1" applyProtection="1">
      <alignment horizontal="center"/>
      <protection hidden="1"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164" fontId="0" fillId="0" borderId="32" xfId="0" applyNumberFormat="1" applyBorder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22" fontId="0" fillId="0" borderId="0" xfId="0" applyNumberFormat="1" applyAlignment="1" applyProtection="1">
      <alignment/>
      <protection/>
    </xf>
    <xf numFmtId="0" fontId="34" fillId="48" borderId="0" xfId="45" applyFill="1" applyAlignment="1" applyProtection="1">
      <alignment/>
      <protection locked="0"/>
    </xf>
    <xf numFmtId="0" fontId="0" fillId="0" borderId="0" xfId="0" applyBorder="1" applyAlignment="1" applyProtection="1">
      <alignment/>
      <protection hidden="1"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losgerena.es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PageLayoutView="0" workbookViewId="0" topLeftCell="A2">
      <selection activeCell="K9" sqref="K9"/>
    </sheetView>
  </sheetViews>
  <sheetFormatPr defaultColWidth="11.421875" defaultRowHeight="15"/>
  <cols>
    <col min="1" max="1" width="11.421875" style="9" customWidth="1"/>
    <col min="2" max="2" width="13.00390625" style="9" customWidth="1"/>
    <col min="3" max="3" width="11.421875" style="9" customWidth="1"/>
    <col min="4" max="4" width="12.421875" style="9" customWidth="1"/>
    <col min="5" max="5" width="11.421875" style="9" customWidth="1"/>
    <col min="6" max="6" width="15.7109375" style="9" bestFit="1" customWidth="1"/>
    <col min="7" max="16384" width="11.421875" style="9" customWidth="1"/>
  </cols>
  <sheetData>
    <row r="1" spans="1:7" ht="15">
      <c r="A1" s="13"/>
      <c r="B1" s="14"/>
      <c r="C1" s="15"/>
      <c r="D1" s="15"/>
      <c r="E1" s="15"/>
      <c r="F1" s="13"/>
      <c r="G1" s="14"/>
    </row>
    <row r="2" spans="1:7" ht="15">
      <c r="A2" s="13"/>
      <c r="B2" s="14"/>
      <c r="C2" s="15"/>
      <c r="D2" s="15"/>
      <c r="E2" s="15"/>
      <c r="F2" s="13"/>
      <c r="G2" s="14"/>
    </row>
    <row r="3" spans="1:7" ht="21">
      <c r="A3" s="13"/>
      <c r="B3" s="57" t="s">
        <v>90</v>
      </c>
      <c r="C3" s="58"/>
      <c r="D3" s="58"/>
      <c r="E3" s="58"/>
      <c r="F3" s="58"/>
      <c r="G3" s="14"/>
    </row>
    <row r="4" spans="1:7" ht="21">
      <c r="A4" s="13"/>
      <c r="B4" s="59"/>
      <c r="C4" s="60" t="s">
        <v>71</v>
      </c>
      <c r="D4" s="59"/>
      <c r="E4" s="59"/>
      <c r="F4" s="59"/>
      <c r="G4" s="14"/>
    </row>
    <row r="5" spans="1:7" ht="21">
      <c r="A5" s="13"/>
      <c r="B5" s="61" t="s">
        <v>66</v>
      </c>
      <c r="C5" s="62"/>
      <c r="D5" s="61"/>
      <c r="E5" s="61"/>
      <c r="F5" s="61"/>
      <c r="G5" s="14"/>
    </row>
    <row r="6" spans="1:7" ht="21">
      <c r="A6" s="13"/>
      <c r="B6" s="61" t="s">
        <v>67</v>
      </c>
      <c r="C6" s="62"/>
      <c r="D6" s="61"/>
      <c r="E6" s="61"/>
      <c r="F6" s="61"/>
      <c r="G6" s="14"/>
    </row>
    <row r="7" spans="1:7" ht="21.75" customHeight="1">
      <c r="A7" s="13"/>
      <c r="B7" s="63" t="s">
        <v>75</v>
      </c>
      <c r="C7" s="64" t="s">
        <v>87</v>
      </c>
      <c r="D7" s="16"/>
      <c r="E7" s="16"/>
      <c r="G7" s="14"/>
    </row>
    <row r="8" spans="1:7" ht="21.75" customHeight="1">
      <c r="A8" s="13"/>
      <c r="B8" s="68" t="s">
        <v>77</v>
      </c>
      <c r="C8" s="70"/>
      <c r="D8" s="69">
        <f ca="1">NOW()</f>
        <v>41435.48233622685</v>
      </c>
      <c r="E8" s="61"/>
      <c r="F8" s="65"/>
      <c r="G8" s="14"/>
    </row>
    <row r="9" spans="1:7" ht="15">
      <c r="A9" s="17"/>
      <c r="B9" s="66" t="s">
        <v>0</v>
      </c>
      <c r="C9" s="67" t="s">
        <v>1</v>
      </c>
      <c r="D9" s="66" t="s">
        <v>2</v>
      </c>
      <c r="E9" s="66" t="s">
        <v>3</v>
      </c>
      <c r="F9" s="66" t="s">
        <v>4</v>
      </c>
      <c r="G9" s="14"/>
    </row>
    <row r="10" spans="1:7" ht="15">
      <c r="A10" s="17"/>
      <c r="B10" s="10">
        <v>40</v>
      </c>
      <c r="C10" s="11">
        <v>105</v>
      </c>
      <c r="D10" s="11">
        <v>1.62</v>
      </c>
      <c r="E10" s="11" t="s">
        <v>74</v>
      </c>
      <c r="F10" s="11" t="s">
        <v>76</v>
      </c>
      <c r="G10" s="14"/>
    </row>
    <row r="11" spans="1:7" ht="15">
      <c r="A11" s="13"/>
      <c r="B11" s="18"/>
      <c r="C11" s="18"/>
      <c r="D11" s="18"/>
      <c r="E11" s="12"/>
      <c r="F11" s="12"/>
      <c r="G11" s="14"/>
    </row>
    <row r="12" spans="1:7" ht="22.5" customHeight="1">
      <c r="A12" s="17"/>
      <c r="B12" s="90" t="s">
        <v>93</v>
      </c>
      <c r="C12" s="19"/>
      <c r="D12" s="20">
        <f>C10/(D10*D10)</f>
        <v>40.009144947416544</v>
      </c>
      <c r="E12" s="12"/>
      <c r="F12" s="12"/>
      <c r="G12" s="14"/>
    </row>
    <row r="13" spans="1:7" ht="21.75" customHeight="1">
      <c r="A13" s="17"/>
      <c r="B13" s="21" t="s">
        <v>5</v>
      </c>
      <c r="C13" s="22"/>
      <c r="D13" s="23">
        <f>IF(F10="H",27*D10*D10,IF(F10="M",25*D10*D10,"Poner bien el sexo"))</f>
        <v>70.8588</v>
      </c>
      <c r="E13" s="12"/>
      <c r="F13" s="12"/>
      <c r="G13" s="14"/>
    </row>
    <row r="14" spans="1:7" ht="23.25" customHeight="1">
      <c r="A14" s="17"/>
      <c r="B14" s="24" t="s">
        <v>68</v>
      </c>
      <c r="C14" s="19"/>
      <c r="D14" s="25" t="str">
        <f>IF(AND(D12&lt;25),"NORMOPESO",IF(AND(D12&gt;25,D12&lt;30),"SOBREPESO","OBESIDAD "))</f>
        <v>OBESIDAD </v>
      </c>
      <c r="E14" s="12"/>
      <c r="F14" s="12"/>
      <c r="G14" s="14"/>
    </row>
    <row r="15" spans="1:7" ht="15">
      <c r="A15" s="13"/>
      <c r="B15" s="26"/>
      <c r="C15" s="12"/>
      <c r="D15" s="27"/>
      <c r="E15" s="12"/>
      <c r="F15" s="12"/>
      <c r="G15" s="14"/>
    </row>
    <row r="16" spans="1:7" ht="15">
      <c r="A16" s="13"/>
      <c r="B16" s="28" t="s">
        <v>6</v>
      </c>
      <c r="C16" s="29"/>
      <c r="D16" s="30"/>
      <c r="E16" s="12"/>
      <c r="F16" s="12"/>
      <c r="G16" s="14"/>
    </row>
    <row r="17" spans="1:7" ht="20.25" customHeight="1">
      <c r="A17" s="13"/>
      <c r="B17" s="31" t="s">
        <v>62</v>
      </c>
      <c r="C17" s="32"/>
      <c r="D17" s="33">
        <f>SUM(Cuadrante!E5:I34)</f>
        <v>2012.744214</v>
      </c>
      <c r="E17" s="12"/>
      <c r="F17" s="12"/>
      <c r="G17" s="14"/>
    </row>
    <row r="18" spans="1:7" ht="21" customHeight="1">
      <c r="A18" s="13"/>
      <c r="B18" s="34" t="s">
        <v>65</v>
      </c>
      <c r="C18" s="35"/>
      <c r="D18" s="36">
        <f>PRODUCT(D17/2)</f>
        <v>1006.372107</v>
      </c>
      <c r="E18" s="12"/>
      <c r="F18" s="12"/>
      <c r="G18" s="14"/>
    </row>
    <row r="19" spans="1:7" ht="30">
      <c r="A19" s="13"/>
      <c r="B19" s="37"/>
      <c r="C19" s="38" t="s">
        <v>7</v>
      </c>
      <c r="D19" s="39"/>
      <c r="E19" s="40" t="s">
        <v>63</v>
      </c>
      <c r="F19" s="41" t="s">
        <v>64</v>
      </c>
      <c r="G19" s="14"/>
    </row>
    <row r="20" spans="1:7" ht="15">
      <c r="A20" s="13"/>
      <c r="B20" s="42" t="s">
        <v>8</v>
      </c>
      <c r="C20" s="43">
        <f>($D$17/8)*15/100</f>
        <v>37.7389540125</v>
      </c>
      <c r="D20" s="44" t="s">
        <v>9</v>
      </c>
      <c r="E20" s="45">
        <f>C20/10</f>
        <v>3.7738954012500003</v>
      </c>
      <c r="F20" s="46">
        <f>PRODUCT(C20,4)</f>
        <v>150.95581605</v>
      </c>
      <c r="G20" s="14"/>
    </row>
    <row r="21" spans="1:7" ht="15">
      <c r="A21" s="13"/>
      <c r="B21" s="47" t="s">
        <v>10</v>
      </c>
      <c r="C21" s="43">
        <f>($D$17/8)*10/100</f>
        <v>25.159302675</v>
      </c>
      <c r="D21" s="44" t="s">
        <v>9</v>
      </c>
      <c r="E21" s="45">
        <f>C21/10</f>
        <v>2.5159302675</v>
      </c>
      <c r="F21" s="46">
        <f>PRODUCT(C21,4)</f>
        <v>100.6372107</v>
      </c>
      <c r="G21" s="14"/>
    </row>
    <row r="22" spans="1:7" ht="15">
      <c r="A22" s="13"/>
      <c r="B22" s="42" t="s">
        <v>11</v>
      </c>
      <c r="C22" s="43">
        <f>($D$17/8)*30/100</f>
        <v>75.477908025</v>
      </c>
      <c r="D22" s="44" t="s">
        <v>9</v>
      </c>
      <c r="E22" s="45">
        <f>C22/10</f>
        <v>7.547790802500001</v>
      </c>
      <c r="F22" s="46">
        <f>PRODUCT(C22,4)</f>
        <v>301.9116321</v>
      </c>
      <c r="G22" s="14"/>
    </row>
    <row r="23" spans="1:7" ht="15">
      <c r="A23" s="13"/>
      <c r="B23" s="42" t="s">
        <v>12</v>
      </c>
      <c r="C23" s="43">
        <f>($D$17/8)*15/100</f>
        <v>37.7389540125</v>
      </c>
      <c r="D23" s="44" t="s">
        <v>9</v>
      </c>
      <c r="E23" s="45">
        <f>C23/10</f>
        <v>3.7738954012500003</v>
      </c>
      <c r="F23" s="46">
        <f>PRODUCT(C23,4)</f>
        <v>150.95581605</v>
      </c>
      <c r="G23" s="14"/>
    </row>
    <row r="24" spans="1:7" ht="15">
      <c r="A24" s="13"/>
      <c r="B24" s="42" t="s">
        <v>13</v>
      </c>
      <c r="C24" s="43">
        <f>($D$17/8)*30/100</f>
        <v>75.477908025</v>
      </c>
      <c r="D24" s="44" t="s">
        <v>9</v>
      </c>
      <c r="E24" s="45">
        <f>C24/10</f>
        <v>7.547790802500001</v>
      </c>
      <c r="F24" s="46">
        <f>PRODUCT(C24,4)</f>
        <v>301.9116321</v>
      </c>
      <c r="G24" s="14"/>
    </row>
    <row r="25" spans="1:7" ht="15">
      <c r="A25" s="13"/>
      <c r="B25" s="26"/>
      <c r="C25" s="12"/>
      <c r="D25" s="27"/>
      <c r="E25" s="12"/>
      <c r="F25" s="48"/>
      <c r="G25" s="14"/>
    </row>
    <row r="26" spans="1:7" ht="30">
      <c r="A26" s="13"/>
      <c r="B26" s="49"/>
      <c r="C26" s="50" t="s">
        <v>14</v>
      </c>
      <c r="D26" s="51"/>
      <c r="E26" s="40" t="s">
        <v>63</v>
      </c>
      <c r="F26" s="41" t="s">
        <v>64</v>
      </c>
      <c r="G26" s="14"/>
    </row>
    <row r="27" spans="1:7" ht="15">
      <c r="A27" s="13"/>
      <c r="B27" s="42" t="s">
        <v>8</v>
      </c>
      <c r="C27" s="43">
        <f>(D17/8)*20/100</f>
        <v>50.31860535</v>
      </c>
      <c r="D27" s="44" t="s">
        <v>9</v>
      </c>
      <c r="E27" s="45">
        <f>C27/10</f>
        <v>5.031860535</v>
      </c>
      <c r="F27" s="46">
        <f>PRODUCT(C27,4)</f>
        <v>201.2744214</v>
      </c>
      <c r="G27" s="14"/>
    </row>
    <row r="28" spans="1:7" ht="15">
      <c r="A28" s="13"/>
      <c r="B28" s="42" t="s">
        <v>11</v>
      </c>
      <c r="C28" s="43">
        <f>(D17/8)*40/100</f>
        <v>100.6372107</v>
      </c>
      <c r="D28" s="44" t="s">
        <v>9</v>
      </c>
      <c r="E28" s="45">
        <f>C28/10</f>
        <v>10.06372107</v>
      </c>
      <c r="F28" s="46">
        <f>PRODUCT(C28,4)</f>
        <v>402.5488428</v>
      </c>
      <c r="G28" s="14"/>
    </row>
    <row r="29" spans="1:7" ht="15">
      <c r="A29" s="13"/>
      <c r="B29" s="52" t="s">
        <v>13</v>
      </c>
      <c r="C29" s="53">
        <f>(D17/8)*40/100</f>
        <v>100.6372107</v>
      </c>
      <c r="D29" s="54" t="s">
        <v>9</v>
      </c>
      <c r="E29" s="45">
        <f>C29/10</f>
        <v>10.06372107</v>
      </c>
      <c r="F29" s="46">
        <f>PRODUCT(C29,4)</f>
        <v>402.5488428</v>
      </c>
      <c r="G29" s="14"/>
    </row>
    <row r="30" spans="1:7" ht="15">
      <c r="A30" s="13"/>
      <c r="B30" s="55" t="s">
        <v>89</v>
      </c>
      <c r="C30" s="15"/>
      <c r="D30" s="15"/>
      <c r="E30" s="15"/>
      <c r="F30" s="13"/>
      <c r="G30" s="14"/>
    </row>
    <row r="31" spans="1:7" ht="15">
      <c r="A31" s="13"/>
      <c r="B31" s="55" t="s">
        <v>72</v>
      </c>
      <c r="C31" s="15"/>
      <c r="D31" s="15"/>
      <c r="E31" s="15"/>
      <c r="F31" s="13"/>
      <c r="G31" s="14"/>
    </row>
    <row r="32" spans="1:7" ht="15">
      <c r="A32" s="13"/>
      <c r="B32" s="55"/>
      <c r="C32" s="15" t="s">
        <v>73</v>
      </c>
      <c r="D32" s="15"/>
      <c r="E32" s="15"/>
      <c r="F32" s="13"/>
      <c r="G32" s="14"/>
    </row>
    <row r="33" spans="1:7" ht="15">
      <c r="A33" s="13"/>
      <c r="B33" s="55"/>
      <c r="C33" s="89" t="s">
        <v>91</v>
      </c>
      <c r="D33" s="15"/>
      <c r="E33" s="15"/>
      <c r="F33" s="13"/>
      <c r="G33" s="14"/>
    </row>
    <row r="34" spans="1:7" ht="15">
      <c r="A34" s="13"/>
      <c r="B34" s="55" t="s">
        <v>69</v>
      </c>
      <c r="C34" s="15"/>
      <c r="D34" s="56" t="s">
        <v>70</v>
      </c>
      <c r="E34" s="15"/>
      <c r="F34" s="13"/>
      <c r="G34" s="14"/>
    </row>
    <row r="81" ht="15">
      <c r="C81" s="9" t="s">
        <v>50</v>
      </c>
    </row>
    <row r="82" ht="15">
      <c r="C82" s="9" t="s">
        <v>51</v>
      </c>
    </row>
    <row r="83" ht="15">
      <c r="C83" s="9" t="s">
        <v>52</v>
      </c>
    </row>
    <row r="84" ht="15">
      <c r="C84" s="9" t="s">
        <v>53</v>
      </c>
    </row>
    <row r="87" ht="15">
      <c r="C87" s="9" t="s">
        <v>54</v>
      </c>
    </row>
    <row r="88" ht="15">
      <c r="C88" s="9" t="s">
        <v>55</v>
      </c>
    </row>
    <row r="89" ht="15">
      <c r="C89" s="9" t="s">
        <v>56</v>
      </c>
    </row>
    <row r="90" ht="15">
      <c r="C90" s="9" t="s">
        <v>57</v>
      </c>
    </row>
    <row r="93" ht="15">
      <c r="C93" s="9" t="s">
        <v>58</v>
      </c>
    </row>
    <row r="94" ht="15">
      <c r="C94" s="9" t="s">
        <v>59</v>
      </c>
    </row>
    <row r="96" ht="15">
      <c r="C96" s="9" t="s">
        <v>60</v>
      </c>
    </row>
    <row r="97" ht="15">
      <c r="C97" s="9" t="s">
        <v>61</v>
      </c>
    </row>
  </sheetData>
  <sheetProtection password="F4F2" sheet="1" objects="1" scenarios="1" selectLockedCells="1"/>
  <hyperlinks>
    <hyperlink ref="C33" r:id="rId1" display="www.carlosgerena.es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4:I46"/>
  <sheetViews>
    <sheetView zoomScalePageLayoutView="0" workbookViewId="0" topLeftCell="A13">
      <selection activeCell="I38" sqref="I38"/>
    </sheetView>
  </sheetViews>
  <sheetFormatPr defaultColWidth="11.421875" defaultRowHeight="15"/>
  <cols>
    <col min="3" max="3" width="10.57421875" style="0" customWidth="1"/>
    <col min="4" max="4" width="26.140625" style="0" customWidth="1"/>
  </cols>
  <sheetData>
    <row r="4" spans="4:9" ht="15">
      <c r="D4" s="1"/>
      <c r="E4" s="1" t="s">
        <v>15</v>
      </c>
      <c r="F4" s="1" t="s">
        <v>16</v>
      </c>
      <c r="G4" s="2" t="s">
        <v>17</v>
      </c>
      <c r="H4" s="1" t="s">
        <v>18</v>
      </c>
      <c r="I4" s="1" t="s">
        <v>19</v>
      </c>
    </row>
    <row r="5" spans="4:9" ht="15">
      <c r="D5" s="3" t="s">
        <v>20</v>
      </c>
      <c r="E5" s="4">
        <f>IF(AND('Cálculo de necesidades calórica'!$B$10&lt;40,'Cálculo de necesidades calórica'!$D$12&lt;25,'Cálculo de necesidades calórica'!$F$10="h",'Cálculo de necesidades calórica'!$E$10="basal"),24*'Cálculo de necesidades calórica'!$D$13,0)</f>
        <v>0</v>
      </c>
      <c r="F5" s="4">
        <f>IF(AND('Cálculo de necesidades calórica'!$B$10&gt;=40,'Cálculo de necesidades calórica'!$B$10&lt;=49,'Cálculo de necesidades calórica'!$D$12&lt;25,'Cálculo de necesidades calórica'!$F$10="h",'Cálculo de necesidades calórica'!$E$10="basal"),24*'Cálculo de necesidades calórica'!$D$13-24*'Cálculo de necesidades calórica'!$D$13*5/100,0)</f>
        <v>0</v>
      </c>
      <c r="G5" s="4">
        <f>IF(AND('Cálculo de necesidades calórica'!$B$10&gt;=50,'Cálculo de necesidades calórica'!$B$10&lt;=59,'Cálculo de necesidades calórica'!$D$12&lt;25,'Cálculo de necesidades calórica'!$F$10="h",'Cálculo de necesidades calórica'!$E$10="basal"),24*'Cálculo de necesidades calórica'!$D$13-24*'Cálculo de necesidades calórica'!$D$13*10/100,0)</f>
        <v>0</v>
      </c>
      <c r="H5" s="4">
        <f>IF(AND('Cálculo de necesidades calórica'!$B$10&gt;=60,'Cálculo de necesidades calórica'!$B$10&lt;=69,'Cálculo de necesidades calórica'!$D$12&lt;25,'Cálculo de necesidades calórica'!$F$10="h",'Cálculo de necesidades calórica'!$E$10="basal"),24*'Cálculo de necesidades calórica'!$D$13-24*'Cálculo de necesidades calórica'!$D$13*20/100,0)</f>
        <v>0</v>
      </c>
      <c r="I5" s="4">
        <f>IF(AND('Cálculo de necesidades calórica'!$B$10&gt;=70,'Cálculo de necesidades calórica'!$D$12&lt;25,'Cálculo de necesidades calórica'!$F$10="h",'Cálculo de necesidades calórica'!$E$10="basal"),24*'Cálculo de necesidades calórica'!$D$13-24*'Cálculo de necesidades calórica'!$D$13*30/100,0)</f>
        <v>0</v>
      </c>
    </row>
    <row r="6" spans="4:9" ht="15">
      <c r="D6" s="3" t="s">
        <v>21</v>
      </c>
      <c r="E6" s="4">
        <f>IF(AND('Cálculo de necesidades calórica'!$B$10&lt;40,'Cálculo de necesidades calórica'!$D$12&lt;25,'Cálculo de necesidades calórica'!$F$10="m",'Cálculo de necesidades calórica'!$E$10="basal"),24*'Cálculo de necesidades calórica'!$D$13,0)</f>
        <v>0</v>
      </c>
      <c r="F6" s="4">
        <f>IF(AND('Cálculo de necesidades calórica'!$B$10&gt;=40,'Cálculo de necesidades calórica'!$B$10&lt;=49,'Cálculo de necesidades calórica'!$D$12&lt;25,'Cálculo de necesidades calórica'!$F$10="m",'Cálculo de necesidades calórica'!$E$10="basal"),24*'Cálculo de necesidades calórica'!$D$13-24*'Cálculo de necesidades calórica'!$D$13*5/100,0)</f>
        <v>0</v>
      </c>
      <c r="G6" s="4">
        <f>IF(AND('Cálculo de necesidades calórica'!$B$10&gt;=50,'Cálculo de necesidades calórica'!$B$10&lt;=59,'Cálculo de necesidades calórica'!$D$12&lt;25,'Cálculo de necesidades calórica'!$F$10="m",'Cálculo de necesidades calórica'!$E$10="basal"),24*'Cálculo de necesidades calórica'!$D$13-24*'Cálculo de necesidades calórica'!$D$13*10/100,0)</f>
        <v>0</v>
      </c>
      <c r="H6" s="4">
        <f>IF(AND('Cálculo de necesidades calórica'!$B$10&gt;=60,'Cálculo de necesidades calórica'!$B$10&lt;=69,'Cálculo de necesidades calórica'!$D$12&lt;25,'Cálculo de necesidades calórica'!$F$10="m",'Cálculo de necesidades calórica'!$E$10="basal"),24*'Cálculo de necesidades calórica'!$D$13-24*'Cálculo de necesidades calórica'!$D$13*20/100,0)</f>
        <v>0</v>
      </c>
      <c r="I6" s="4">
        <f>IF(AND('Cálculo de necesidades calórica'!$B$10&gt;=70,'Cálculo de necesidades calórica'!$D$12&lt;25,'Cálculo de necesidades calórica'!$F$10="m",'Cálculo de necesidades calórica'!$E$10="basal"),24*'Cálculo de necesidades calórica'!$D$13-24*'Cálculo de necesidades calórica'!$D$13*30/100,0)</f>
        <v>0</v>
      </c>
    </row>
    <row r="7" spans="4:9" ht="15">
      <c r="D7" s="3" t="s">
        <v>22</v>
      </c>
      <c r="E7" s="4">
        <f>IF(AND('Cálculo de necesidades calórica'!$B$10&lt;40,'Cálculo de necesidades calórica'!$D$12&lt;25,'Cálculo de necesidades calórica'!$F$10="h",'Cálculo de necesidades calórica'!$E$10="mínima"),30*'Cálculo de necesidades calórica'!$D$13,0)</f>
        <v>0</v>
      </c>
      <c r="F7" s="4">
        <f>IF(AND('Cálculo de necesidades calórica'!$B$10&gt;=40,'Cálculo de necesidades calórica'!$B$10&lt;=49,'Cálculo de necesidades calórica'!$D$12&lt;25,'Cálculo de necesidades calórica'!$F$10="h",'Cálculo de necesidades calórica'!$E$10="mínima"),30*'Cálculo de necesidades calórica'!$D$13-30*'Cálculo de necesidades calórica'!$D$13*5/100,0)</f>
        <v>0</v>
      </c>
      <c r="G7" s="4">
        <f>IF(AND('Cálculo de necesidades calórica'!$B$10&gt;=50,'Cálculo de necesidades calórica'!$B$10&lt;=59,'Cálculo de necesidades calórica'!$D$12&lt;25,'Cálculo de necesidades calórica'!$F$10="h",'Cálculo de necesidades calórica'!$E$10="mínima"),30*'Cálculo de necesidades calórica'!$D$13-30*'Cálculo de necesidades calórica'!$D$13*10/100,0)</f>
        <v>0</v>
      </c>
      <c r="H7" s="4">
        <f>IF(AND('Cálculo de necesidades calórica'!$B$10&gt;=60,'Cálculo de necesidades calórica'!$B$10&lt;=69,'Cálculo de necesidades calórica'!$D$12&lt;25,'Cálculo de necesidades calórica'!$F$10="h",'Cálculo de necesidades calórica'!$E$10="mínima"),30*'Cálculo de necesidades calórica'!$D$13-30*'Cálculo de necesidades calórica'!$D$13*20/100,0)</f>
        <v>0</v>
      </c>
      <c r="I7" s="4">
        <f>IF(AND('Cálculo de necesidades calórica'!$B$10&gt;=70,'Cálculo de necesidades calórica'!$D$12&lt;25,'Cálculo de necesidades calórica'!$F$10="h",'Cálculo de necesidades calórica'!$E$10="mínima"),30*'Cálculo de necesidades calórica'!$D$13-30*'Cálculo de necesidades calórica'!$D$13*30/100,0)</f>
        <v>0</v>
      </c>
    </row>
    <row r="8" spans="4:9" ht="15">
      <c r="D8" s="3" t="s">
        <v>23</v>
      </c>
      <c r="E8" s="4">
        <f>IF(AND('Cálculo de necesidades calórica'!$B$10&lt;40,'Cálculo de necesidades calórica'!$D$12&lt;25,'Cálculo de necesidades calórica'!$F$10="m",'Cálculo de necesidades calórica'!$E$10="mínima"),30*'Cálculo de necesidades calórica'!$D$13,0)</f>
        <v>0</v>
      </c>
      <c r="F8" s="4">
        <f>IF(AND('Cálculo de necesidades calórica'!$B$10&gt;=40,'Cálculo de necesidades calórica'!$B$10&lt;=49,'Cálculo de necesidades calórica'!$D$12&lt;25,'Cálculo de necesidades calórica'!$F$10="m",'Cálculo de necesidades calórica'!$E$10="mínima"),30*'Cálculo de necesidades calórica'!$D$13-30*'Cálculo de necesidades calórica'!$D$13*5/100,0)</f>
        <v>0</v>
      </c>
      <c r="G8" s="4">
        <f>IF(AND('Cálculo de necesidades calórica'!$B$10&gt;=50,'Cálculo de necesidades calórica'!$B$10&lt;=59,'Cálculo de necesidades calórica'!$D$12&lt;25,'Cálculo de necesidades calórica'!$F$10="m",'Cálculo de necesidades calórica'!$E$10="mínima"),30*'Cálculo de necesidades calórica'!$D$13-30*'Cálculo de necesidades calórica'!$D$13*10/100,0)</f>
        <v>0</v>
      </c>
      <c r="H8" s="4">
        <f>IF(AND('Cálculo de necesidades calórica'!$B$10&gt;=60,'Cálculo de necesidades calórica'!$B$10&lt;=69,'Cálculo de necesidades calórica'!$D$12&lt;25,'Cálculo de necesidades calórica'!$F$10="m",'Cálculo de necesidades calórica'!$E$10="mínima"),30*'Cálculo de necesidades calórica'!$D$13-30*'Cálculo de necesidades calórica'!$D$13*20/100,0)</f>
        <v>0</v>
      </c>
      <c r="I8" s="4">
        <f>IF(AND('Cálculo de necesidades calórica'!$B$10&gt;=70,'Cálculo de necesidades calórica'!$D$12&lt;25,'Cálculo de necesidades calórica'!$F$10="m",'Cálculo de necesidades calórica'!$E$10="mínima"),30*'Cálculo de necesidades calórica'!$D$13-30*'Cálculo de necesidades calórica'!$D$13*30/100,0)</f>
        <v>0</v>
      </c>
    </row>
    <row r="9" spans="4:9" ht="15">
      <c r="D9" s="3" t="s">
        <v>24</v>
      </c>
      <c r="E9" s="4">
        <f>IF(AND('Cálculo de necesidades calórica'!$B$10&lt;40,'Cálculo de necesidades calórica'!$D$12&lt;25,'Cálculo de necesidades calórica'!$F$10="h",'Cálculo de necesidades calórica'!$E$10="ligera"),42*'Cálculo de necesidades calórica'!$D$13,0*'Cálculo de necesidades calórica'!$D$13)</f>
        <v>0</v>
      </c>
      <c r="F9" s="4">
        <f>IF(AND('Cálculo de necesidades calórica'!$B$10&gt;=40,'Cálculo de necesidades calórica'!$B$10&lt;=49,'Cálculo de necesidades calórica'!$D$12&lt;25,'Cálculo de necesidades calórica'!$F$10="h",'Cálculo de necesidades calórica'!$E$10="ligera"),42*'Cálculo de necesidades calórica'!$D$13-42*'Cálculo de necesidades calórica'!$D$13*5/100,0)</f>
        <v>0</v>
      </c>
      <c r="G9" s="4">
        <f>IF(AND('Cálculo de necesidades calórica'!$B$10&gt;=50,'Cálculo de necesidades calórica'!$B$10&lt;=59,'Cálculo de necesidades calórica'!$D$12&lt;25,'Cálculo de necesidades calórica'!$F$10="h",'Cálculo de necesidades calórica'!$E$10="ligera"),42*'Cálculo de necesidades calórica'!$D$13-42*'Cálculo de necesidades calórica'!$D$13*10/100,0)</f>
        <v>0</v>
      </c>
      <c r="H9" s="4">
        <f>IF(AND('Cálculo de necesidades calórica'!$B$10&gt;=60,'Cálculo de necesidades calórica'!$B$10&lt;=69,'Cálculo de necesidades calórica'!$D$12&lt;25,'Cálculo de necesidades calórica'!$F$10="h",'Cálculo de necesidades calórica'!$E$10="ligera"),42*'Cálculo de necesidades calórica'!$D$13-42*'Cálculo de necesidades calórica'!$D$13*20/100,0)</f>
        <v>0</v>
      </c>
      <c r="I9" s="4">
        <f>IF(AND('Cálculo de necesidades calórica'!$B$10&gt;=70,'Cálculo de necesidades calórica'!$D$12&lt;25,'Cálculo de necesidades calórica'!$F$10="h",'Cálculo de necesidades calórica'!$E$10="ligera"),42*'Cálculo de necesidades calórica'!$D$13-42*'Cálculo de necesidades calórica'!$D$13*30/100,0)</f>
        <v>0</v>
      </c>
    </row>
    <row r="10" spans="4:9" ht="15">
      <c r="D10" s="3" t="s">
        <v>25</v>
      </c>
      <c r="E10" s="4">
        <f>IF(AND('Cálculo de necesidades calórica'!$B$10&lt;40,'Cálculo de necesidades calórica'!$D$12&lt;25,'Cálculo de necesidades calórica'!$F$10="m",'Cálculo de necesidades calórica'!$E$10="ligera"),36*'Cálculo de necesidades calórica'!$D$13,0)</f>
        <v>0</v>
      </c>
      <c r="F10" s="4">
        <f>IF(AND('Cálculo de necesidades calórica'!$B$10&gt;=40,'Cálculo de necesidades calórica'!$B$10&lt;=49,'Cálculo de necesidades calórica'!$D$12&lt;25,'Cálculo de necesidades calórica'!$F$10="m",'Cálculo de necesidades calórica'!$E$10="ligera"),36*'Cálculo de necesidades calórica'!$D$13-36*'Cálculo de necesidades calórica'!$D$13*5/100,0)</f>
        <v>0</v>
      </c>
      <c r="G10" s="4">
        <f>IF(AND('Cálculo de necesidades calórica'!$B$10&gt;=50,'Cálculo de necesidades calórica'!$B$10&lt;=59,'Cálculo de necesidades calórica'!$D$12&lt;25,'Cálculo de necesidades calórica'!$F$10="m",'Cálculo de necesidades calórica'!$E$10="ligera"),36*'Cálculo de necesidades calórica'!$D$13-36*'Cálculo de necesidades calórica'!$D$13*10/100,0)</f>
        <v>0</v>
      </c>
      <c r="H10" s="4">
        <f>IF(AND('Cálculo de necesidades calórica'!$B$10&gt;=60,'Cálculo de necesidades calórica'!$B$10&lt;=69,'Cálculo de necesidades calórica'!$D$12&lt;25,'Cálculo de necesidades calórica'!$F$10="m",'Cálculo de necesidades calórica'!$E$10="ligera"),36*'Cálculo de necesidades calórica'!$D$13-36*'Cálculo de necesidades calórica'!$D$13*20/100,0)</f>
        <v>0</v>
      </c>
      <c r="I10" s="4">
        <f>IF(AND('Cálculo de necesidades calórica'!$B$10&gt;=70,'Cálculo de necesidades calórica'!$D$12&lt;25,'Cálculo de necesidades calórica'!$F$10="m",'Cálculo de necesidades calórica'!$E$10="ligera"),36*'Cálculo de necesidades calórica'!$D$13-36*'Cálculo de necesidades calórica'!$D$13*30/100,0)</f>
        <v>0</v>
      </c>
    </row>
    <row r="11" spans="4:9" ht="15">
      <c r="D11" s="3" t="s">
        <v>26</v>
      </c>
      <c r="E11" s="4">
        <f>IF(AND('Cálculo de necesidades calórica'!$B$10&lt;40,'Cálculo de necesidades calórica'!$D$12&lt;25,'Cálculo de necesidades calórica'!$F$10="h",'Cálculo de necesidades calórica'!$E$10="media"),46*'Cálculo de necesidades calórica'!$D$13,0)</f>
        <v>0</v>
      </c>
      <c r="F11" s="4">
        <f>IF(AND('Cálculo de necesidades calórica'!$B$10&gt;=40,'Cálculo de necesidades calórica'!$B$10&lt;=49,'Cálculo de necesidades calórica'!$D$12&lt;25,'Cálculo de necesidades calórica'!$F$10="h",'Cálculo de necesidades calórica'!$E$10="media"),46*'Cálculo de necesidades calórica'!$D$13-46*'Cálculo de necesidades calórica'!$D$13*5/100,0)</f>
        <v>0</v>
      </c>
      <c r="G11" s="4">
        <f>IF(AND('Cálculo de necesidades calórica'!$B$10&gt;=50,'Cálculo de necesidades calórica'!$B$10&lt;=59,'Cálculo de necesidades calórica'!$D$12&lt;25,'Cálculo de necesidades calórica'!$F$10="h",'Cálculo de necesidades calórica'!$E$10="media"),46*'Cálculo de necesidades calórica'!$D$13-46*'Cálculo de necesidades calórica'!$D$13*10/100,0)</f>
        <v>0</v>
      </c>
      <c r="H11" s="4">
        <f>IF(AND('Cálculo de necesidades calórica'!$B$10&gt;=60,'Cálculo de necesidades calórica'!$B$10&lt;=69,'Cálculo de necesidades calórica'!$D$12&lt;25,'Cálculo de necesidades calórica'!$F$10="h",'Cálculo de necesidades calórica'!$E$10="media"),46*'Cálculo de necesidades calórica'!$D$13-46*'Cálculo de necesidades calórica'!$D$13*20/100,0)</f>
        <v>0</v>
      </c>
      <c r="I11" s="4">
        <f>IF(AND('Cálculo de necesidades calórica'!$B$10&gt;=70,'Cálculo de necesidades calórica'!$D$12&lt;25,'Cálculo de necesidades calórica'!$F$10="h",'Cálculo de necesidades calórica'!$E$10="media"),46*'Cálculo de necesidades calórica'!$D$13-46*'Cálculo de necesidades calórica'!$D$13*30/100,0)</f>
        <v>0</v>
      </c>
    </row>
    <row r="12" spans="4:9" ht="15">
      <c r="D12" s="3" t="s">
        <v>27</v>
      </c>
      <c r="E12" s="4">
        <f>IF(AND('Cálculo de necesidades calórica'!$B$10&lt;40,'Cálculo de necesidades calórica'!$D$12&lt;25,'Cálculo de necesidades calórica'!$F$10="m",'Cálculo de necesidades calórica'!$E$10="media"),40*'Cálculo de necesidades calórica'!$D$13,0)</f>
        <v>0</v>
      </c>
      <c r="F12" s="4">
        <f>IF(AND('Cálculo de necesidades calórica'!$B$10&gt;=40,'Cálculo de necesidades calórica'!$B$10&lt;=49,'Cálculo de necesidades calórica'!$D$12&lt;25,'Cálculo de necesidades calórica'!$F$10="m",'Cálculo de necesidades calórica'!$E$10="media"),40*'Cálculo de necesidades calórica'!$D$13-40*'Cálculo de necesidades calórica'!$D$13*5/100,0)</f>
        <v>0</v>
      </c>
      <c r="G12" s="4">
        <f>IF(AND('Cálculo de necesidades calórica'!$B$10&gt;=50,'Cálculo de necesidades calórica'!$B$10&lt;=59,'Cálculo de necesidades calórica'!$D$12&lt;25,'Cálculo de necesidades calórica'!$F$10="m",'Cálculo de necesidades calórica'!$E$10="media"),40*'Cálculo de necesidades calórica'!$D$13-40*'Cálculo de necesidades calórica'!$D$13*10/100,0)</f>
        <v>0</v>
      </c>
      <c r="H12" s="4">
        <f>IF(AND('Cálculo de necesidades calórica'!$B$10&gt;=60,'Cálculo de necesidades calórica'!$B$10&lt;=69,'Cálculo de necesidades calórica'!$D$12&lt;25,'Cálculo de necesidades calórica'!$F$10="m",'Cálculo de necesidades calórica'!$E$10="media"),40*'Cálculo de necesidades calórica'!$D$13-40*'Cálculo de necesidades calórica'!$D$13*20/100,0)</f>
        <v>0</v>
      </c>
      <c r="I12" s="4">
        <f>IF(AND('Cálculo de necesidades calórica'!$B$10&gt;=70,'Cálculo de necesidades calórica'!$D$12&lt;25,'Cálculo de necesidades calórica'!$F$10="m",'Cálculo de necesidades calórica'!$E$10="media"),40*'Cálculo de necesidades calórica'!$D$13-40*'Cálculo de necesidades calórica'!$D$13*30/100,0)</f>
        <v>0</v>
      </c>
    </row>
    <row r="13" spans="4:9" ht="15">
      <c r="D13" s="3" t="s">
        <v>28</v>
      </c>
      <c r="E13" s="4">
        <f>IF(AND('Cálculo de necesidades calórica'!$B$10&lt;40,'Cálculo de necesidades calórica'!$D$12&lt;25,'Cálculo de necesidades calórica'!$F$10="h",'Cálculo de necesidades calórica'!$E$10="intensa"),54*'Cálculo de necesidades calórica'!$D$13,0)</f>
        <v>0</v>
      </c>
      <c r="F13" s="4">
        <f>IF(AND('Cálculo de necesidades calórica'!$B$10&gt;=40,'Cálculo de necesidades calórica'!$B$10&lt;=49,'Cálculo de necesidades calórica'!$D$12&lt;25,'Cálculo de necesidades calórica'!$F$10="h",'Cálculo de necesidades calórica'!$E$10="intensa"),54*'Cálculo de necesidades calórica'!$D$13-54*'Cálculo de necesidades calórica'!$D$13*5/100,0*'Cálculo de necesidades calórica'!$D$13)</f>
        <v>0</v>
      </c>
      <c r="G13" s="4">
        <f>IF(AND('Cálculo de necesidades calórica'!$B$10&gt;=50,'Cálculo de necesidades calórica'!$B$10&lt;=59,'Cálculo de necesidades calórica'!$D$12&lt;25,'Cálculo de necesidades calórica'!$F$10="h",'Cálculo de necesidades calórica'!$E$10="intensa"),54*'Cálculo de necesidades calórica'!$D$13-54*'Cálculo de necesidades calórica'!$D$13*10/100,0)</f>
        <v>0</v>
      </c>
      <c r="H13" s="4">
        <f>IF(AND('Cálculo de necesidades calórica'!$B$10&gt;=60,'Cálculo de necesidades calórica'!$B$10&lt;=69,'Cálculo de necesidades calórica'!$D$12&lt;25,'Cálculo de necesidades calórica'!$F$10="h",'Cálculo de necesidades calórica'!$E$10="intensa"),54*'Cálculo de necesidades calórica'!$D$13-54*'Cálculo de necesidades calórica'!$D$13*20/100,0)</f>
        <v>0</v>
      </c>
      <c r="I13" s="4">
        <f>IF(AND('Cálculo de necesidades calórica'!$B$10&gt;=70,'Cálculo de necesidades calórica'!$D$12&lt;25,'Cálculo de necesidades calórica'!$F$10="h",'Cálculo de necesidades calórica'!$E$10="intensa"),54*'Cálculo de necesidades calórica'!$D$13-54*'Cálculo de necesidades calórica'!$D$13*30/100,0)</f>
        <v>0</v>
      </c>
    </row>
    <row r="14" spans="4:9" ht="15">
      <c r="D14" s="3" t="s">
        <v>29</v>
      </c>
      <c r="E14" s="4">
        <f>IF(AND('Cálculo de necesidades calórica'!$B$10&lt;40,'Cálculo de necesidades calórica'!$D$12&lt;25,'Cálculo de necesidades calórica'!$F$10="m",'Cálculo de necesidades calórica'!$E$10="intensa"),47*'Cálculo de necesidades calórica'!$D$13,0)</f>
        <v>0</v>
      </c>
      <c r="F14" s="4">
        <f>IF(AND('Cálculo de necesidades calórica'!$B$10&gt;=40,'Cálculo de necesidades calórica'!$B$10&lt;=49,'Cálculo de necesidades calórica'!$D$12&lt;25,'Cálculo de necesidades calórica'!$F$10="m",'Cálculo de necesidades calórica'!$E$10="intensa"),47*'Cálculo de necesidades calórica'!$D$13-47*'Cálculo de necesidades calórica'!$D$13*5/100,0)</f>
        <v>0</v>
      </c>
      <c r="G14" s="4">
        <f>IF(AND('Cálculo de necesidades calórica'!$B$10&gt;=50,'Cálculo de necesidades calórica'!$B$10&lt;=59,'Cálculo de necesidades calórica'!$D$12&lt;25,'Cálculo de necesidades calórica'!$F$10="m",'Cálculo de necesidades calórica'!$E$10="intensa"),47*'Cálculo de necesidades calórica'!$D$13-47*'Cálculo de necesidades calórica'!$D$13*10/100,0)</f>
        <v>0</v>
      </c>
      <c r="H14" s="4">
        <f>IF(AND('Cálculo de necesidades calórica'!$B$10&gt;=60,'Cálculo de necesidades calórica'!$B$10&lt;=69,'Cálculo de necesidades calórica'!$D$12&lt;25,'Cálculo de necesidades calórica'!$F$10="m",'Cálculo de necesidades calórica'!$E$10="intensa"),47*'Cálculo de necesidades calórica'!$D$13-47*'Cálculo de necesidades calórica'!$D$13*20/100,0)</f>
        <v>0</v>
      </c>
      <c r="I14" s="4">
        <f>IF(AND('Cálculo de necesidades calórica'!$B$10&gt;=70,'Cálculo de necesidades calórica'!$D$12&lt;25,'Cálculo de necesidades calórica'!$F$10="m",'Cálculo de necesidades calórica'!$E$10="intensa"),47*'Cálculo de necesidades calórica'!$D$13-47*'Cálculo de necesidades calórica'!$D$13*30/100,0)</f>
        <v>0</v>
      </c>
    </row>
    <row r="15" spans="4:9" ht="15">
      <c r="D15" s="5" t="s">
        <v>30</v>
      </c>
      <c r="E15" s="6">
        <f>IF(AND('Cálculo de necesidades calórica'!$B$10&lt;40,'Cálculo de necesidades calórica'!$D$12&gt;=25,'Cálculo de necesidades calórica'!$D$12&lt;30,'Cálculo de necesidades calórica'!$F$10="h",'Cálculo de necesidades calórica'!$E$10="basal"),24*'Cálculo de necesidades calórica'!$D$13-24*'Cálculo de necesidades calórica'!$D$13*15/100,0)</f>
        <v>0</v>
      </c>
      <c r="F15" s="6">
        <f>IF(AND('Cálculo de necesidades calórica'!$B$10&gt;=40,'Cálculo de necesidades calórica'!$B$10&lt;=49,'Cálculo de necesidades calórica'!$D$12&gt;=25,'Cálculo de necesidades calórica'!$D$12&lt;30,'Cálculo de necesidades calórica'!$F$10="h",'Cálculo de necesidades calórica'!$E$10="basal"),(24*'Cálculo de necesidades calórica'!$D$13-24*'Cálculo de necesidades calórica'!$D$13*5/100)-((24*'Cálculo de necesidades calórica'!$D$13-24*'Cálculo de necesidades calórica'!$D$13*5/100)*15/100),0)</f>
        <v>0</v>
      </c>
      <c r="G15" s="6">
        <f>IF(AND('Cálculo de necesidades calórica'!$B$10&gt;=50,'Cálculo de necesidades calórica'!$B$10&lt;=59,'Cálculo de necesidades calórica'!$D$12&gt;=25,'Cálculo de necesidades calórica'!$D$12&lt;30,'Cálculo de necesidades calórica'!$F$10="h",'Cálculo de necesidades calórica'!$E$10="basal"),(24*'Cálculo de necesidades calórica'!$D$13-24*'Cálculo de necesidades calórica'!$D$13*10/100)-((24*'Cálculo de necesidades calórica'!$D$13-24*'Cálculo de necesidades calórica'!$D$13*10/100)*15/100),0)</f>
        <v>0</v>
      </c>
      <c r="H15" s="6">
        <f>IF(AND('Cálculo de necesidades calórica'!$B$10&gt;=60,'Cálculo de necesidades calórica'!$B$10&lt;=69,'Cálculo de necesidades calórica'!$D$12&gt;=25,'Cálculo de necesidades calórica'!$D$12&lt;30,'Cálculo de necesidades calórica'!$F$10="h",'Cálculo de necesidades calórica'!$E$10="basal"),(24*'Cálculo de necesidades calórica'!$D$13-24*'Cálculo de necesidades calórica'!$D$13*20/100)-((24*'Cálculo de necesidades calórica'!$D$13-24*'Cálculo de necesidades calórica'!$D$13*20/100)*15/100),0)</f>
        <v>0</v>
      </c>
      <c r="I15" s="6">
        <f>IF(AND('Cálculo de necesidades calórica'!$B$10&gt;=70,'Cálculo de necesidades calórica'!$D$12&gt;=25,'Cálculo de necesidades calórica'!$D$12&lt;30,'Cálculo de necesidades calórica'!$F$10="h",'Cálculo de necesidades calórica'!$E$10="basal"),(24*'Cálculo de necesidades calórica'!$D$13-24*'Cálculo de necesidades calórica'!$D$13*30/100)-((24*'Cálculo de necesidades calórica'!$D$13-24*'Cálculo de necesidades calórica'!$D$13*30/100)*15/100),0)</f>
        <v>0</v>
      </c>
    </row>
    <row r="16" spans="4:9" ht="15">
      <c r="D16" s="5" t="s">
        <v>31</v>
      </c>
      <c r="E16" s="6">
        <f>IF(AND('Cálculo de necesidades calórica'!$B$10&lt;40,'Cálculo de necesidades calórica'!$D$12&gt;=25,'Cálculo de necesidades calórica'!$D$12&lt;30,'Cálculo de necesidades calórica'!$F$10="m",'Cálculo de necesidades calórica'!$E$10="basal"),24*'Cálculo de necesidades calórica'!$D$13-24*'Cálculo de necesidades calórica'!$D$13*15/100,0)</f>
        <v>0</v>
      </c>
      <c r="F16" s="6">
        <f>IF(AND('Cálculo de necesidades calórica'!$B$10&gt;=40,'Cálculo de necesidades calórica'!$B$10&lt;=49,'Cálculo de necesidades calórica'!$D$12&gt;=25,'Cálculo de necesidades calórica'!$D$12&lt;30,'Cálculo de necesidades calórica'!$F$10="m",'Cálculo de necesidades calórica'!$E$10="basal"),(24*'Cálculo de necesidades calórica'!$D$13-24*'Cálculo de necesidades calórica'!$D$13*5/100)-((24*'Cálculo de necesidades calórica'!$D$13-24*'Cálculo de necesidades calórica'!$D$13*5/100)*15/100),0)</f>
        <v>0</v>
      </c>
      <c r="G16" s="6">
        <f>IF(AND('Cálculo de necesidades calórica'!$B$10&gt;=50,'Cálculo de necesidades calórica'!$B$10&lt;=59,'Cálculo de necesidades calórica'!$D$12&gt;=25,'Cálculo de necesidades calórica'!$D$12&lt;30,'Cálculo de necesidades calórica'!$F$10="m",'Cálculo de necesidades calórica'!$E$10="basal"),(24*'Cálculo de necesidades calórica'!$D$13-24*'Cálculo de necesidades calórica'!$D$13*10/100)-((24*'Cálculo de necesidades calórica'!$D$13-24*'Cálculo de necesidades calórica'!$D$13*10/100)*15/100),0)</f>
        <v>0</v>
      </c>
      <c r="H16" s="6">
        <f>IF(AND('Cálculo de necesidades calórica'!$B$10&gt;=60,'Cálculo de necesidades calórica'!$B$10&lt;=69,'Cálculo de necesidades calórica'!$D$12&gt;=25,'Cálculo de necesidades calórica'!$D$12&lt;30,'Cálculo de necesidades calórica'!$F$10="m",'Cálculo de necesidades calórica'!$E$10="basal"),(24*'Cálculo de necesidades calórica'!$D$13-24*'Cálculo de necesidades calórica'!$D$13*20/100)-((24*'Cálculo de necesidades calórica'!$D$13-24*'Cálculo de necesidades calórica'!$D$13*20/100)*15/100),0)</f>
        <v>0</v>
      </c>
      <c r="I16" s="6">
        <f>IF(AND('Cálculo de necesidades calórica'!$B$10&gt;=70,'Cálculo de necesidades calórica'!$D$12&gt;=25,'Cálculo de necesidades calórica'!$D$12&lt;30,'Cálculo de necesidades calórica'!$F$10="m",'Cálculo de necesidades calórica'!$E$10="basal"),(24*'Cálculo de necesidades calórica'!$D$13-24*'Cálculo de necesidades calórica'!$D$13*30/100)-((24*'Cálculo de necesidades calórica'!$D$13-24*'Cálculo de necesidades calórica'!$D$13*30/100)*15/100),0)</f>
        <v>0</v>
      </c>
    </row>
    <row r="17" spans="4:9" ht="15">
      <c r="D17" s="5" t="s">
        <v>32</v>
      </c>
      <c r="E17" s="6">
        <f>IF(AND('Cálculo de necesidades calórica'!$B$10&lt;40,'Cálculo de necesidades calórica'!$D$12&gt;=25,'Cálculo de necesidades calórica'!$D$12&lt;30,'Cálculo de necesidades calórica'!$F$10="h",'Cálculo de necesidades calórica'!$E$10="mínima"),30*'Cálculo de necesidades calórica'!$D$13-30*'Cálculo de necesidades calórica'!$D$13*15/100,0)</f>
        <v>0</v>
      </c>
      <c r="F17" s="6">
        <f>IF(AND('Cálculo de necesidades calórica'!$B$10&gt;=40,'Cálculo de necesidades calórica'!$B$10&lt;=49,'Cálculo de necesidades calórica'!$D$12&gt;=25,'Cálculo de necesidades calórica'!$D$12&lt;30,'Cálculo de necesidades calórica'!$F$10="h",'Cálculo de necesidades calórica'!$E$10="mínima"),(30*'Cálculo de necesidades calórica'!$D$13-30*'Cálculo de necesidades calórica'!$D$13*15/100)-((30*'Cálculo de necesidades calórica'!$D$13-30*'Cálculo de necesidades calórica'!$D$13*15/100)*5/100),0)</f>
        <v>0</v>
      </c>
      <c r="G17" s="6">
        <f>IF(AND('Cálculo de necesidades calórica'!$B$10&gt;=50,'Cálculo de necesidades calórica'!$B$10&lt;=59,'Cálculo de necesidades calórica'!$D$12&gt;=25,'Cálculo de necesidades calórica'!$D$12&lt;30,'Cálculo de necesidades calórica'!$F$10="h",'Cálculo de necesidades calórica'!$E$10="mínima"),(30*'Cálculo de necesidades calórica'!$D$13-30*'Cálculo de necesidades calórica'!$D$13*15/100)-((30*'Cálculo de necesidades calórica'!$D$13-30*'Cálculo de necesidades calórica'!$D$13*15/100)*10/100),0)</f>
        <v>0</v>
      </c>
      <c r="H17" s="6">
        <f>IF(AND('Cálculo de necesidades calórica'!$B$10&gt;=60,'Cálculo de necesidades calórica'!$B$10&lt;=69,'Cálculo de necesidades calórica'!$D$12&gt;=25,'Cálculo de necesidades calórica'!$D$12&lt;30,'Cálculo de necesidades calórica'!$F$10="h",'Cálculo de necesidades calórica'!$E$10="mínima"),(30*'Cálculo de necesidades calórica'!$D$13-30*'Cálculo de necesidades calórica'!$D$13*15/100)-((30*'Cálculo de necesidades calórica'!$D$13-30*'Cálculo de necesidades calórica'!$D$13*15/100)*20/100),0)</f>
        <v>0</v>
      </c>
      <c r="I17" s="6">
        <f>IF(AND('Cálculo de necesidades calórica'!$B$10&gt;=70,'Cálculo de necesidades calórica'!$D$12&gt;=25,'Cálculo de necesidades calórica'!$D$12&lt;30,'Cálculo de necesidades calórica'!$F$10="h",'Cálculo de necesidades calórica'!$E$10="mínima"),(30*'Cálculo de necesidades calórica'!$D$13-30*'Cálculo de necesidades calórica'!$D$13*15/100)-((30*'Cálculo de necesidades calórica'!$D$13-30*'Cálculo de necesidades calórica'!$D$13*15/100)*30/100),0)</f>
        <v>0</v>
      </c>
    </row>
    <row r="18" spans="4:9" ht="15">
      <c r="D18" s="5" t="s">
        <v>33</v>
      </c>
      <c r="E18" s="6">
        <f>IF(AND('Cálculo de necesidades calórica'!$B$10&lt;40,'Cálculo de necesidades calórica'!$D$12&gt;=25,'Cálculo de necesidades calórica'!$D$12&lt;30,'Cálculo de necesidades calórica'!$F$10="m",'Cálculo de necesidades calórica'!$E$10="mínima"),30*'Cálculo de necesidades calórica'!$D$13-30*'Cálculo de necesidades calórica'!$D$13*15/100,0)</f>
        <v>0</v>
      </c>
      <c r="F18" s="6">
        <f>IF(AND('Cálculo de necesidades calórica'!$B$10&gt;=40,'Cálculo de necesidades calórica'!$B$10&lt;=49,'Cálculo de necesidades calórica'!$D$12&gt;=25,'Cálculo de necesidades calórica'!$D$12&lt;30,'Cálculo de necesidades calórica'!$F$10="m",'Cálculo de necesidades calórica'!$E$10="mínima"),(30*'Cálculo de necesidades calórica'!$D$13-30*'Cálculo de necesidades calórica'!$D$13*15/100)-((30*'Cálculo de necesidades calórica'!$D$13-30*'Cálculo de necesidades calórica'!$D$13*15/100)*5/100),0)</f>
        <v>0</v>
      </c>
      <c r="G18" s="6">
        <f>IF(AND('Cálculo de necesidades calórica'!$B$10&gt;=50,'Cálculo de necesidades calórica'!$B$10&lt;=59,'Cálculo de necesidades calórica'!$D$12&gt;=25,'Cálculo de necesidades calórica'!$D$12&lt;30,'Cálculo de necesidades calórica'!$F$10="m",'Cálculo de necesidades calórica'!$E$10="mínima"),(30*'Cálculo de necesidades calórica'!$D$13-30*'Cálculo de necesidades calórica'!$D$13*15/100)-((30*'Cálculo de necesidades calórica'!$D$13-30*'Cálculo de necesidades calórica'!$D$13*15/100)*10/100),0)</f>
        <v>0</v>
      </c>
      <c r="H18" s="6">
        <f>IF(AND('Cálculo de necesidades calórica'!$B$10&gt;=60,'Cálculo de necesidades calórica'!$B$10&lt;=69,'Cálculo de necesidades calórica'!$D$12&gt;=25,'Cálculo de necesidades calórica'!$D$12&lt;30,'Cálculo de necesidades calórica'!$F$10="m",'Cálculo de necesidades calórica'!$E$10="mínima"),(30*'Cálculo de necesidades calórica'!$D$13-30*'Cálculo de necesidades calórica'!$D$13*15/100)-((30*'Cálculo de necesidades calórica'!$D$13-30*'Cálculo de necesidades calórica'!$D$13*15/100)*20/100),0)</f>
        <v>0</v>
      </c>
      <c r="I18" s="6">
        <f>IF(AND('Cálculo de necesidades calórica'!$B$10&gt;=70,'Cálculo de necesidades calórica'!$D$12&gt;=25,'Cálculo de necesidades calórica'!$D$12&lt;30,'Cálculo de necesidades calórica'!$F$10="m",'Cálculo de necesidades calórica'!$E$10="mínima"),(30*'Cálculo de necesidades calórica'!$D$13-30*'Cálculo de necesidades calórica'!$D$13*15/100)-((30*'Cálculo de necesidades calórica'!$D$13-30*'Cálculo de necesidades calórica'!$D$13*15/100)*30/100),0)</f>
        <v>0</v>
      </c>
    </row>
    <row r="19" spans="4:9" ht="15">
      <c r="D19" s="5" t="s">
        <v>34</v>
      </c>
      <c r="E19" s="6">
        <f>IF(AND('Cálculo de necesidades calórica'!$B$10&lt;40,'Cálculo de necesidades calórica'!$D$12&gt;=25,'Cálculo de necesidades calórica'!$D$12&lt;30,'Cálculo de necesidades calórica'!$F$10="h",'Cálculo de necesidades calórica'!$E$10="ligera"),42*'Cálculo de necesidades calórica'!$D$13-42*'Cálculo de necesidades calórica'!$D$13*15/100,0)</f>
        <v>0</v>
      </c>
      <c r="F19" s="6">
        <f>IF(AND('Cálculo de necesidades calórica'!$B$10&gt;=40,'Cálculo de necesidades calórica'!$B$10&lt;=49,'Cálculo de necesidades calórica'!$D$12&gt;=25,'Cálculo de necesidades calórica'!$D$12&lt;30,'Cálculo de necesidades calórica'!$F$10="h",'Cálculo de necesidades calórica'!$E$10="ligera"),(42*'Cálculo de necesidades calórica'!$D$13-42*'Cálculo de necesidades calórica'!$D$13*15/100)-((42*'Cálculo de necesidades calórica'!$D$13-42*'Cálculo de necesidades calórica'!$D$13*15/100)*5/100),0)</f>
        <v>0</v>
      </c>
      <c r="G19" s="6">
        <f>IF(AND('Cálculo de necesidades calórica'!$B$10&gt;=50,'Cálculo de necesidades calórica'!$B$10&lt;=59,'Cálculo de necesidades calórica'!$D$12&gt;=25,'Cálculo de necesidades calórica'!$D$12&lt;30,'Cálculo de necesidades calórica'!$F$10="h",'Cálculo de necesidades calórica'!$E$10="ligera"),(42*'Cálculo de necesidades calórica'!$D$13-42*'Cálculo de necesidades calórica'!$D$13*15/100)-((42*'Cálculo de necesidades calórica'!$D$13-42*'Cálculo de necesidades calórica'!$D$13*15/100)*10/100),0)</f>
        <v>0</v>
      </c>
      <c r="H19" s="6">
        <f>IF(AND('Cálculo de necesidades calórica'!$B$10&gt;=60,'Cálculo de necesidades calórica'!$B$10&lt;=69,'Cálculo de necesidades calórica'!$D$12&gt;=25,'Cálculo de necesidades calórica'!$D$12&lt;30,'Cálculo de necesidades calórica'!$F$10="h",'Cálculo de necesidades calórica'!$E$10="ligera"),(42*'Cálculo de necesidades calórica'!$D$13-42*'Cálculo de necesidades calórica'!$D$13*15/100)-((42*'Cálculo de necesidades calórica'!$D$13-42*'Cálculo de necesidades calórica'!$D$13*15/100)*20/100),0)</f>
        <v>0</v>
      </c>
      <c r="I19" s="6">
        <f>IF(AND('Cálculo de necesidades calórica'!$B$10&gt;=70,'Cálculo de necesidades calórica'!$D$12&gt;=25,'Cálculo de necesidades calórica'!$D$12&lt;30,'Cálculo de necesidades calórica'!$F$10="h",'Cálculo de necesidades calórica'!$E$10="ligera"),(42*'Cálculo de necesidades calórica'!$D$13-42*'Cálculo de necesidades calórica'!$D$13*15/100)-((42*'Cálculo de necesidades calórica'!$D$13-42*'Cálculo de necesidades calórica'!$D$13*15/100)*30/100),0)</f>
        <v>0</v>
      </c>
    </row>
    <row r="20" spans="4:9" ht="15">
      <c r="D20" s="5" t="s">
        <v>35</v>
      </c>
      <c r="E20" s="6">
        <f>IF(AND('Cálculo de necesidades calórica'!$B$10&lt;40,'Cálculo de necesidades calórica'!$D$12&gt;=25,'Cálculo de necesidades calórica'!$D$12&lt;30,'Cálculo de necesidades calórica'!$F$10="m",'Cálculo de necesidades calórica'!$E$10="ligera"),36*'Cálculo de necesidades calórica'!$D$13-36*'Cálculo de necesidades calórica'!$D$13*15/100,0)</f>
        <v>0</v>
      </c>
      <c r="F20" s="6">
        <f>IF(AND('Cálculo de necesidades calórica'!$B$10&gt;=40,'Cálculo de necesidades calórica'!$B$10&lt;=49,'Cálculo de necesidades calórica'!$D$12&gt;=25,'Cálculo de necesidades calórica'!$D$12&lt;30,'Cálculo de necesidades calórica'!$F$10="m",'Cálculo de necesidades calórica'!$E$10="ligera"),(36*'Cálculo de necesidades calórica'!$D$13-36*'Cálculo de necesidades calórica'!$D$13*15/100)-((36*'Cálculo de necesidades calórica'!$D$13-36*'Cálculo de necesidades calórica'!$D$13*15/100)*5/100),0)</f>
        <v>0</v>
      </c>
      <c r="G20" s="6">
        <f>IF(AND('Cálculo de necesidades calórica'!$B$10&gt;=50,'Cálculo de necesidades calórica'!$B$10&lt;=59,'Cálculo de necesidades calórica'!$D$12&gt;=25,'Cálculo de necesidades calórica'!$D$12&lt;30,'Cálculo de necesidades calórica'!$F$10="m",'Cálculo de necesidades calórica'!$E$10="ligera"),(36*'Cálculo de necesidades calórica'!$D$13-36*'Cálculo de necesidades calórica'!$D$13*15/100)-((36*'Cálculo de necesidades calórica'!$D$13-36*'Cálculo de necesidades calórica'!$D$13*15/100)*10/100),0)</f>
        <v>0</v>
      </c>
      <c r="H20" s="6">
        <f>IF(AND('Cálculo de necesidades calórica'!$B$10&gt;=60,'Cálculo de necesidades calórica'!$B$10&lt;=69,'Cálculo de necesidades calórica'!$D$12&gt;=25,'Cálculo de necesidades calórica'!$D$12&lt;30,'Cálculo de necesidades calórica'!$F$10="m",'Cálculo de necesidades calórica'!$E$10="ligera"),(36*'Cálculo de necesidades calórica'!$D$13-36*'Cálculo de necesidades calórica'!$D$13*15/100)-((36*'Cálculo de necesidades calórica'!$D$13-36*'Cálculo de necesidades calórica'!$D$13*15/100)*20/100),0)</f>
        <v>0</v>
      </c>
      <c r="I20" s="6">
        <f>IF(AND('Cálculo de necesidades calórica'!$B$10&gt;=70,'Cálculo de necesidades calórica'!$D$12&gt;=25,'Cálculo de necesidades calórica'!$D$12&lt;30,'Cálculo de necesidades calórica'!$F$10="m",'Cálculo de necesidades calórica'!$E$10="ligera"),(36*'Cálculo de necesidades calórica'!$D$13-36*'Cálculo de necesidades calórica'!$D$13*15/100)-((36*'Cálculo de necesidades calórica'!$D$13-36*'Cálculo de necesidades calórica'!$D$13*15/100)*30/100),0)</f>
        <v>0</v>
      </c>
    </row>
    <row r="21" spans="4:9" ht="15">
      <c r="D21" s="5" t="s">
        <v>36</v>
      </c>
      <c r="E21" s="6">
        <f>IF(AND('Cálculo de necesidades calórica'!$B$10&lt;40,'Cálculo de necesidades calórica'!$D$12&gt;=25,'Cálculo de necesidades calórica'!$D$12&lt;30,'Cálculo de necesidades calórica'!$F$10="h",'Cálculo de necesidades calórica'!$E$10="media"),46*'Cálculo de necesidades calórica'!$D$13-46*'Cálculo de necesidades calórica'!$D$13*15/100,0)</f>
        <v>0</v>
      </c>
      <c r="F21" s="6">
        <f>IF(AND('Cálculo de necesidades calórica'!$B$10&gt;=40,'Cálculo de necesidades calórica'!$B$10&lt;=49,'Cálculo de necesidades calórica'!$D$12&gt;=25,'Cálculo de necesidades calórica'!$D$12&lt;30,'Cálculo de necesidades calórica'!$F$10="h",'Cálculo de necesidades calórica'!$E$10="media"),(46*'Cálculo de necesidades calórica'!$D$13-46*'Cálculo de necesidades calórica'!$D$13*15/100)-((46*'Cálculo de necesidades calórica'!$D$13-46*'Cálculo de necesidades calórica'!$D$13*15/100)*5/100),0)</f>
        <v>0</v>
      </c>
      <c r="G21" s="6">
        <f>IF(AND('Cálculo de necesidades calórica'!$B$10&gt;=50,'Cálculo de necesidades calórica'!$B$10&lt;=59,'Cálculo de necesidades calórica'!$D$12&gt;=25,'Cálculo de necesidades calórica'!$D$12&lt;30,'Cálculo de necesidades calórica'!$F$10="h",'Cálculo de necesidades calórica'!$E$10="media"),(46*'Cálculo de necesidades calórica'!$D$13-46*'Cálculo de necesidades calórica'!$D$13*15/100)-((46*'Cálculo de necesidades calórica'!$D$13-46*'Cálculo de necesidades calórica'!$D$13*15/100)*10/100),0)</f>
        <v>0</v>
      </c>
      <c r="H21" s="6">
        <f>IF(AND('Cálculo de necesidades calórica'!$B$10&gt;=60,'Cálculo de necesidades calórica'!$B$10&lt;=69,'Cálculo de necesidades calórica'!$D$12&gt;=25,'Cálculo de necesidades calórica'!$D$12&lt;30,'Cálculo de necesidades calórica'!$F$10="h",'Cálculo de necesidades calórica'!$E$10="media"),(46*'Cálculo de necesidades calórica'!$D$13-46*'Cálculo de necesidades calórica'!$D$13*15/100)-((46*'Cálculo de necesidades calórica'!$D$13-46*'Cálculo de necesidades calórica'!$D$13*15/100)*20/100),0)</f>
        <v>0</v>
      </c>
      <c r="I21" s="6">
        <f>IF(AND('Cálculo de necesidades calórica'!$B$10&gt;=70,'Cálculo de necesidades calórica'!$D$12&gt;=25,'Cálculo de necesidades calórica'!$D$12&lt;30,'Cálculo de necesidades calórica'!$F$10="h",'Cálculo de necesidades calórica'!$E$10="media"),(46*'Cálculo de necesidades calórica'!$D$13-46*'Cálculo de necesidades calórica'!$D$13*15/100)-((46*'Cálculo de necesidades calórica'!$D$13-46*'Cálculo de necesidades calórica'!$D$13*15/100)*30/100),0)</f>
        <v>0</v>
      </c>
    </row>
    <row r="22" spans="4:9" ht="15">
      <c r="D22" s="5" t="s">
        <v>37</v>
      </c>
      <c r="E22" s="6">
        <f>IF(AND('Cálculo de necesidades calórica'!$B$10&lt;40,'Cálculo de necesidades calórica'!$D$12&gt;=25,'Cálculo de necesidades calórica'!$D$12&lt;30,'Cálculo de necesidades calórica'!$F$10="m",'Cálculo de necesidades calórica'!$E$10="media"),40*'Cálculo de necesidades calórica'!$D$13-40*'Cálculo de necesidades calórica'!$D$13*15/100,0)</f>
        <v>0</v>
      </c>
      <c r="F22" s="6">
        <f>IF(AND('Cálculo de necesidades calórica'!$B$10&gt;=40,'Cálculo de necesidades calórica'!$B$10&lt;=49,'Cálculo de necesidades calórica'!$D$12&gt;=25,'Cálculo de necesidades calórica'!$D$12&lt;30,'Cálculo de necesidades calórica'!$F$10="m",'Cálculo de necesidades calórica'!$E$10="media"),(40*'Cálculo de necesidades calórica'!$D$13-40*'Cálculo de necesidades calórica'!$D$13*15/100)-((40*'Cálculo de necesidades calórica'!$D$13-40*'Cálculo de necesidades calórica'!$D$13*15/100)*5/100),0)</f>
        <v>0</v>
      </c>
      <c r="G22" s="6">
        <f>IF(AND('Cálculo de necesidades calórica'!$B$10&gt;=50,'Cálculo de necesidades calórica'!$B$10&lt;=59,'Cálculo de necesidades calórica'!$D$12&gt;=25,'Cálculo de necesidades calórica'!$D$12&lt;30,'Cálculo de necesidades calórica'!$F$10="m",'Cálculo de necesidades calórica'!$E$10="media"),(40*'Cálculo de necesidades calórica'!$D$13-40*'Cálculo de necesidades calórica'!$D$13*15/100)-((40*'Cálculo de necesidades calórica'!$D$13-40*'Cálculo de necesidades calórica'!$D$13*15/100)*10/100),0)</f>
        <v>0</v>
      </c>
      <c r="H22" s="6">
        <f>IF(AND('Cálculo de necesidades calórica'!$B$10&gt;=60,'Cálculo de necesidades calórica'!$B$10&lt;=69,'Cálculo de necesidades calórica'!$D$12&gt;=25,'Cálculo de necesidades calórica'!$D$12&lt;30,'Cálculo de necesidades calórica'!$F$10="m",'Cálculo de necesidades calórica'!$E$10="media"),(40*'Cálculo de necesidades calórica'!$D$13-40*'Cálculo de necesidades calórica'!$D$13*15/100)-((40*'Cálculo de necesidades calórica'!$D$13-40*'Cálculo de necesidades calórica'!$D$13*15/100)*20/100),0)</f>
        <v>0</v>
      </c>
      <c r="I22" s="6">
        <f>IF(AND('Cálculo de necesidades calórica'!$B$10&gt;=70,'Cálculo de necesidades calórica'!$D$12&gt;=25,'Cálculo de necesidades calórica'!$D$12&lt;30,'Cálculo de necesidades calórica'!$F$10="m",'Cálculo de necesidades calórica'!$E$10="media"),(40*'Cálculo de necesidades calórica'!$D$13-40*'Cálculo de necesidades calórica'!$D$13*15/100)-((40*'Cálculo de necesidades calórica'!$D$13-40*'Cálculo de necesidades calórica'!$D$13*15/100)*30/100),0)</f>
        <v>0</v>
      </c>
    </row>
    <row r="23" spans="4:9" ht="15">
      <c r="D23" s="5" t="s">
        <v>38</v>
      </c>
      <c r="E23" s="6">
        <f>IF(AND('Cálculo de necesidades calórica'!$B$10&lt;40,'Cálculo de necesidades calórica'!$D$12&gt;=25,'Cálculo de necesidades calórica'!$D$12&lt;30,'Cálculo de necesidades calórica'!$F$10="h",'Cálculo de necesidades calórica'!$E$10="intensa"),54*'Cálculo de necesidades calórica'!$D$13-54*'Cálculo de necesidades calórica'!$D$13*15/100,0)</f>
        <v>0</v>
      </c>
      <c r="F23" s="6">
        <f>IF(AND('Cálculo de necesidades calórica'!$B$10&gt;=40,'Cálculo de necesidades calórica'!$B$10&lt;=49,'Cálculo de necesidades calórica'!$D$12&gt;=25,'Cálculo de necesidades calórica'!$D$12&lt;30,'Cálculo de necesidades calórica'!$F$10="h",'Cálculo de necesidades calórica'!$E$10="intensa"),(54*'Cálculo de necesidades calórica'!$D$13-54*'Cálculo de necesidades calórica'!$D$13*15/100)-((54*'Cálculo de necesidades calórica'!$D$13-54*'Cálculo de necesidades calórica'!$D$13*15/100)*5/100),0)</f>
        <v>0</v>
      </c>
      <c r="G23" s="6">
        <f>IF(AND('Cálculo de necesidades calórica'!$B$10&gt;=50,'Cálculo de necesidades calórica'!$B$10&lt;=59,'Cálculo de necesidades calórica'!$D$12&gt;=25,'Cálculo de necesidades calórica'!$D$12&lt;30,'Cálculo de necesidades calórica'!$F$10="h",'Cálculo de necesidades calórica'!$E$10="intensa"),(54*'Cálculo de necesidades calórica'!$D$13-54*'Cálculo de necesidades calórica'!$D$13*15/100)-((54*'Cálculo de necesidades calórica'!$D$13-54*'Cálculo de necesidades calórica'!$D$13*15/100)*10/100),0)</f>
        <v>0</v>
      </c>
      <c r="H23" s="6">
        <f>IF(AND('Cálculo de necesidades calórica'!$B$10&gt;=60,'Cálculo de necesidades calórica'!$B$10&lt;=69,'Cálculo de necesidades calórica'!$D$12&gt;=25,'Cálculo de necesidades calórica'!$D$12&lt;30,'Cálculo de necesidades calórica'!$F$10="h",'Cálculo de necesidades calórica'!$E$10="intensa"),(54*'Cálculo de necesidades calórica'!$D$13-54*'Cálculo de necesidades calórica'!$D$13*15/100)-((54*'Cálculo de necesidades calórica'!$D$13-54*'Cálculo de necesidades calórica'!$D$13*15/100)*20/100),0)</f>
        <v>0</v>
      </c>
      <c r="I23" s="6">
        <f>IF(AND('Cálculo de necesidades calórica'!$B$10&gt;=70,'Cálculo de necesidades calórica'!$D$12&gt;=25,'Cálculo de necesidades calórica'!$D$12&lt;30,'Cálculo de necesidades calórica'!$F$10="h",'Cálculo de necesidades calórica'!$E$10="intensa"),(54*'Cálculo de necesidades calórica'!$D$13-54*'Cálculo de necesidades calórica'!$D$13*15/100)-((54*'Cálculo de necesidades calórica'!$D$13-54*'Cálculo de necesidades calórica'!$D$13*15/100)*30/100),0)</f>
        <v>0</v>
      </c>
    </row>
    <row r="24" spans="4:9" ht="15">
      <c r="D24" s="5" t="s">
        <v>39</v>
      </c>
      <c r="E24" s="6">
        <f>IF(AND('Cálculo de necesidades calórica'!$B$10&lt;40,'Cálculo de necesidades calórica'!$D$12&gt;=25,'Cálculo de necesidades calórica'!$D$12&lt;30,'Cálculo de necesidades calórica'!$F$10="m",'Cálculo de necesidades calórica'!$E$10="intensa"),47*'Cálculo de necesidades calórica'!$D$13-47*'Cálculo de necesidades calórica'!$D$13*15/100,0)</f>
        <v>0</v>
      </c>
      <c r="F24" s="6">
        <f>IF(AND('Cálculo de necesidades calórica'!$B$10&gt;=40,'Cálculo de necesidades calórica'!$B$10&lt;=49,'Cálculo de necesidades calórica'!$D$12&gt;=25,'Cálculo de necesidades calórica'!$D$12&lt;30,'Cálculo de necesidades calórica'!$F$10="m",'Cálculo de necesidades calórica'!$E$10="intensa"),(47*'Cálculo de necesidades calórica'!$D$13-47*'Cálculo de necesidades calórica'!$D$13*15/100)-((47*'Cálculo de necesidades calórica'!$D$13-47*'Cálculo de necesidades calórica'!$D$13*15/100)*5/100),0)</f>
        <v>0</v>
      </c>
      <c r="G24" s="6">
        <f>IF(AND('Cálculo de necesidades calórica'!$B$10&gt;=50,'Cálculo de necesidades calórica'!$B$10&lt;=59,'Cálculo de necesidades calórica'!$D$12&gt;=25,'Cálculo de necesidades calórica'!$D$12&lt;30,'Cálculo de necesidades calórica'!$F$10="m",'Cálculo de necesidades calórica'!$E$10="intensa"),(47*'Cálculo de necesidades calórica'!$D$13-47*'Cálculo de necesidades calórica'!$D$13*15/100)-((47*'Cálculo de necesidades calórica'!$D$13-47*'Cálculo de necesidades calórica'!$D$13*15/100)*10/100),0)</f>
        <v>0</v>
      </c>
      <c r="H24" s="6">
        <f>IF(AND('Cálculo de necesidades calórica'!$B$10&gt;=60,'Cálculo de necesidades calórica'!$B$10&lt;=69,'Cálculo de necesidades calórica'!$D$12&gt;=25,'Cálculo de necesidades calórica'!$D$12&lt;30,'Cálculo de necesidades calórica'!$F$10="m",'Cálculo de necesidades calórica'!$E$10="intensa"),(47*'Cálculo de necesidades calórica'!$D$13-47*'Cálculo de necesidades calórica'!$D$13*15/100)-((47*'Cálculo de necesidades calórica'!$D$13-47*'Cálculo de necesidades calórica'!$D$13*15/100)*20/100),0)</f>
        <v>0</v>
      </c>
      <c r="I24" s="6">
        <f>IF(AND('Cálculo de necesidades calórica'!$B$10&gt;=70,'Cálculo de necesidades calórica'!$D$12&gt;=25,'Cálculo de necesidades calórica'!$D$12&lt;30,'Cálculo de necesidades calórica'!$F$10="m",'Cálculo de necesidades calórica'!$E$10="intensa"),(47*'Cálculo de necesidades calórica'!$D$13-47*'Cálculo de necesidades calórica'!$D$13*15/100)-((47*'Cálculo de necesidades calórica'!$D$13-47*'Cálculo de necesidades calórica'!$D$13*15/100)*30/100),0)</f>
        <v>0</v>
      </c>
    </row>
    <row r="25" spans="4:9" ht="15">
      <c r="D25" s="7" t="s">
        <v>40</v>
      </c>
      <c r="E25" s="8">
        <f>IF(AND('Cálculo de necesidades calórica'!$B$10&lt;40,'Cálculo de necesidades calórica'!$D$12&gt;=30,'Cálculo de necesidades calórica'!$F$10="h",'Cálculo de necesidades calórica'!$E$10="basal"),24*'Cálculo de necesidades calórica'!$D$13-24*'Cálculo de necesidades calórica'!$D$13*35/100,0)</f>
        <v>0</v>
      </c>
      <c r="F25" s="8">
        <f>IF(AND('Cálculo de necesidades calórica'!$B$10&gt;=40,'Cálculo de necesidades calórica'!$B$10&lt;=49,'Cálculo de necesidades calórica'!$D$12&gt;=30,'Cálculo de necesidades calórica'!$F$10="h",'Cálculo de necesidades calórica'!$E$10="basal"),(24*'Cálculo de necesidades calórica'!$D$13-24*'Cálculo de necesidades calórica'!$D$13*5/100)-((24*'Cálculo de necesidades calórica'!$D$13-24*'Cálculo de necesidades calórica'!$D$13*5/100)*35/100),0)</f>
        <v>0</v>
      </c>
      <c r="G25" s="8">
        <f>IF(AND('Cálculo de necesidades calórica'!$B$10&gt;=50,'Cálculo de necesidades calórica'!$B$10&lt;=59,'Cálculo de necesidades calórica'!$D$12&gt;=30,'Cálculo de necesidades calórica'!$F$10="h",'Cálculo de necesidades calórica'!$E$10="basal"),(24*'Cálculo de necesidades calórica'!$D$13-24*'Cálculo de necesidades calórica'!$D$13*10/100)-((24*'Cálculo de necesidades calórica'!$D$13-24*'Cálculo de necesidades calórica'!$D$13*10/100)*35/100),0)</f>
        <v>0</v>
      </c>
      <c r="H25" s="8">
        <f>IF(AND('Cálculo de necesidades calórica'!$B$10&gt;=60,'Cálculo de necesidades calórica'!$B$10&lt;=69,'Cálculo de necesidades calórica'!$D$12&gt;=30,'Cálculo de necesidades calórica'!$F$10="h",'Cálculo de necesidades calórica'!$E$10="basal"),(24*'Cálculo de necesidades calórica'!$D$13-24*'Cálculo de necesidades calórica'!$D$13*20/100)-((24*'Cálculo de necesidades calórica'!$D$13-24*'Cálculo de necesidades calórica'!$D$13*20/100)*35/100),0)</f>
        <v>0</v>
      </c>
      <c r="I25" s="8">
        <f>IF(AND('Cálculo de necesidades calórica'!$B$10&gt;=70,'Cálculo de necesidades calórica'!$D$12&gt;=30,'Cálculo de necesidades calórica'!$F$10="h",'Cálculo de necesidades calórica'!$E$10="basal"),(24*'Cálculo de necesidades calórica'!$D$13-24*'Cálculo de necesidades calórica'!$D$13*30/100)-((24*'Cálculo de necesidades calórica'!$D$13-24*'Cálculo de necesidades calórica'!$D$13*30/100)*35/100),0)</f>
        <v>0</v>
      </c>
    </row>
    <row r="26" spans="4:9" ht="15">
      <c r="D26" s="7" t="s">
        <v>41</v>
      </c>
      <c r="E26" s="8">
        <f>IF(AND('Cálculo de necesidades calórica'!$B$10&lt;40,'Cálculo de necesidades calórica'!$D$12&gt;=30,'Cálculo de necesidades calórica'!$F$10="m",'Cálculo de necesidades calórica'!$E$10="basal"),24*'Cálculo de necesidades calórica'!$D$13-24*'Cálculo de necesidades calórica'!$D$13*35/100,0)</f>
        <v>0</v>
      </c>
      <c r="F26" s="8">
        <f>IF(AND('Cálculo de necesidades calórica'!$B$10&gt;=40,'Cálculo de necesidades calórica'!$B$10&lt;=49,'Cálculo de necesidades calórica'!$D$12&gt;=30,'Cálculo de necesidades calórica'!$F$10="m",'Cálculo de necesidades calórica'!$E$10="basal"),(24*'Cálculo de necesidades calórica'!$D$13-24*'Cálculo de necesidades calórica'!$D$13*5/100)-((24*'Cálculo de necesidades calórica'!$D$13-24*'Cálculo de necesidades calórica'!$D$13*5/100)*35/100),0)</f>
        <v>0</v>
      </c>
      <c r="G26" s="8">
        <f>IF(AND('Cálculo de necesidades calórica'!$B$10&gt;=50,'Cálculo de necesidades calórica'!$B$10&lt;=59,'Cálculo de necesidades calórica'!$D$12&gt;=30,'Cálculo de necesidades calórica'!$F$10="m",'Cálculo de necesidades calórica'!$E$10="basal"),(24*'Cálculo de necesidades calórica'!$D$13-24*'Cálculo de necesidades calórica'!$D$13*10/100)-((24*'Cálculo de necesidades calórica'!$D$13-24*'Cálculo de necesidades calórica'!$D$13*10/100)*35/100),0)</f>
        <v>0</v>
      </c>
      <c r="H26" s="8">
        <f>IF(AND('Cálculo de necesidades calórica'!$B$10&gt;=60,'Cálculo de necesidades calórica'!$B$10&lt;=69,'Cálculo de necesidades calórica'!$D$12&gt;=30,'Cálculo de necesidades calórica'!$F$10="m",'Cálculo de necesidades calórica'!$E$10="basal"),(24*'Cálculo de necesidades calórica'!$D$13-24*'Cálculo de necesidades calórica'!$D$13*20/100)-((24*'Cálculo de necesidades calórica'!$D$13-24*'Cálculo de necesidades calórica'!$D$13*20/100)*35/100),0)</f>
        <v>0</v>
      </c>
      <c r="I26" s="8">
        <f>IF(AND('Cálculo de necesidades calórica'!$B$10&gt;=70,'Cálculo de necesidades calórica'!$D$12&gt;=30,'Cálculo de necesidades calórica'!$F$10="m",'Cálculo de necesidades calórica'!$E$10="basal"),(24*'Cálculo de necesidades calórica'!$D$13-24*'Cálculo de necesidades calórica'!$D$13*30/100)-((24*'Cálculo de necesidades calórica'!$D$13-24*'Cálculo de necesidades calórica'!$D$13*30/100)*35/100),0)</f>
        <v>0</v>
      </c>
    </row>
    <row r="27" spans="4:9" ht="15">
      <c r="D27" s="7" t="s">
        <v>42</v>
      </c>
      <c r="E27" s="8">
        <f>IF(AND('Cálculo de necesidades calórica'!$B$10&lt;40,'Cálculo de necesidades calórica'!$D$12&gt;=30,'Cálculo de necesidades calórica'!$F$10="h",'Cálculo de necesidades calórica'!$E$10="mínima"),30*'Cálculo de necesidades calórica'!$D$13-30*'Cálculo de necesidades calórica'!$D$13*35/100,0)</f>
        <v>0</v>
      </c>
      <c r="F27" s="8">
        <f>IF(AND('Cálculo de necesidades calórica'!$B$10&gt;=40,'Cálculo de necesidades calórica'!$B$10&lt;=49,'Cálculo de necesidades calórica'!$D$12&gt;=30,'Cálculo de necesidades calórica'!$F$10="h",'Cálculo de necesidades calórica'!$E$10="mínima"),(30*'Cálculo de necesidades calórica'!$D$13-30*'Cálculo de necesidades calórica'!$D$13*5/100)-((30*'Cálculo de necesidades calórica'!$D$13-30*'Cálculo de necesidades calórica'!$D$13*5/100)*35/100),0)</f>
        <v>0</v>
      </c>
      <c r="G27" s="8">
        <f>IF(AND('Cálculo de necesidades calórica'!$B$10&gt;=50,'Cálculo de necesidades calórica'!$B$10&lt;=59,'Cálculo de necesidades calórica'!$D$12&gt;=30,'Cálculo de necesidades calórica'!$F$10="h",'Cálculo de necesidades calórica'!$E$10="mínima"),(30*'Cálculo de necesidades calórica'!$D$13-30*'Cálculo de necesidades calórica'!$D$13*10/100)-((30*'Cálculo de necesidades calórica'!$D$13-30*'Cálculo de necesidades calórica'!$D$13*10/100)*35/100),0)</f>
        <v>0</v>
      </c>
      <c r="H27" s="8">
        <f>IF(AND('Cálculo de necesidades calórica'!$B$10&gt;=60,'Cálculo de necesidades calórica'!$B$10&lt;=69,'Cálculo de necesidades calórica'!$D$12&gt;=30,'Cálculo de necesidades calórica'!$F$10="h",'Cálculo de necesidades calórica'!$E$10="mínima"),(30*'Cálculo de necesidades calórica'!$D$13-30*'Cálculo de necesidades calórica'!$D$13*20/100)-((30*'Cálculo de necesidades calórica'!$D$13-30*'Cálculo de necesidades calórica'!$D$13*20/100)*35/100),0)</f>
        <v>0</v>
      </c>
      <c r="I27" s="8">
        <f>IF(AND('Cálculo de necesidades calórica'!$B$10&gt;=70,'Cálculo de necesidades calórica'!$D$12&gt;=30,'Cálculo de necesidades calórica'!$F$10="h",'Cálculo de necesidades calórica'!$E$10="mínima"),(30*'Cálculo de necesidades calórica'!$D$13-30*'Cálculo de necesidades calórica'!$D$13*30/100)-((30*'Cálculo de necesidades calórica'!$D$13-30*'Cálculo de necesidades calórica'!$D$13*30/100)*35/100),0)</f>
        <v>0</v>
      </c>
    </row>
    <row r="28" spans="4:9" ht="15">
      <c r="D28" s="7" t="s">
        <v>43</v>
      </c>
      <c r="E28" s="8">
        <f>IF(AND('Cálculo de necesidades calórica'!$B$10&lt;40,'Cálculo de necesidades calórica'!$D$12&gt;=30,'Cálculo de necesidades calórica'!$F$10="m",'Cálculo de necesidades calórica'!$E$10="mínima"),30*'Cálculo de necesidades calórica'!$D$13-30*'Cálculo de necesidades calórica'!$D$13*35/100,0)</f>
        <v>0</v>
      </c>
      <c r="F28" s="8">
        <f>IF(AND('Cálculo de necesidades calórica'!$B$10&gt;=40,'Cálculo de necesidades calórica'!$B$10&lt;=49,'Cálculo de necesidades calórica'!$D$12&gt;=30,'Cálculo de necesidades calórica'!$F$10="m",'Cálculo de necesidades calórica'!$E$10="mínima"),(30*'Cálculo de necesidades calórica'!$D$13-30*'Cálculo de necesidades calórica'!$D$13*5/100)-((30*'Cálculo de necesidades calórica'!$D$13-30*'Cálculo de necesidades calórica'!$D$13*5/100)*35/100),0)</f>
        <v>0</v>
      </c>
      <c r="G28" s="8">
        <f>IF(AND('Cálculo de necesidades calórica'!$B$10&gt;=50,'Cálculo de necesidades calórica'!$B$10&lt;=59,'Cálculo de necesidades calórica'!$D$12&gt;=30,'Cálculo de necesidades calórica'!$F$10="m",'Cálculo de necesidades calórica'!$E$10="mínima"),(30*'Cálculo de necesidades calórica'!$D$13-30*'Cálculo de necesidades calórica'!$D$13*10/100)-((30*'Cálculo de necesidades calórica'!$D$13-30*'Cálculo de necesidades calórica'!$D$13*10/100)*35/100),0)</f>
        <v>0</v>
      </c>
      <c r="H28" s="8">
        <f>IF(AND('Cálculo de necesidades calórica'!$B$10&gt;=60,'Cálculo de necesidades calórica'!$B$10&lt;=69,'Cálculo de necesidades calórica'!$D$12&gt;=30,'Cálculo de necesidades calórica'!$F$10="m",'Cálculo de necesidades calórica'!$E$10="mínima"),(30*'Cálculo de necesidades calórica'!$D$13-30*'Cálculo de necesidades calórica'!$D$13*20/100)-((30*'Cálculo de necesidades calórica'!$D$13-30*'Cálculo de necesidades calórica'!$D$13*20/100)*35/100),0)</f>
        <v>0</v>
      </c>
      <c r="I28" s="8">
        <f>IF(AND('Cálculo de necesidades calórica'!$B$10&gt;=70,'Cálculo de necesidades calórica'!$D$12&gt;=30,'Cálculo de necesidades calórica'!$F$10="m",'Cálculo de necesidades calórica'!$E$10="mínima"),(30*'Cálculo de necesidades calórica'!$D$13-30*'Cálculo de necesidades calórica'!$D$13*30/100)-((30*'Cálculo de necesidades calórica'!$D$13-30*'Cálculo de necesidades calórica'!$D$13*30/100)*35/100),0)</f>
        <v>0</v>
      </c>
    </row>
    <row r="29" spans="4:9" ht="15">
      <c r="D29" s="7" t="s">
        <v>44</v>
      </c>
      <c r="E29" s="8">
        <f>IF(AND('Cálculo de necesidades calórica'!$B$10&lt;40,'Cálculo de necesidades calórica'!$D$12&gt;=30,'Cálculo de necesidades calórica'!$F$10="h",'Cálculo de necesidades calórica'!$E$10="ligera"),42*'Cálculo de necesidades calórica'!$D$13-42*'Cálculo de necesidades calórica'!$D$13*35/100,0)</f>
        <v>0</v>
      </c>
      <c r="F29" s="8">
        <f>IF(AND('Cálculo de necesidades calórica'!$B$10&gt;=40,'Cálculo de necesidades calórica'!$B$10&lt;=49,'Cálculo de necesidades calórica'!$D$12&gt;=30,'Cálculo de necesidades calórica'!$F$10="h",'Cálculo de necesidades calórica'!$E$10="ligera"),(42*'Cálculo de necesidades calórica'!$D$13-42*'Cálculo de necesidades calórica'!$D$13*5/100)-((42*'Cálculo de necesidades calórica'!$D$13-42*'Cálculo de necesidades calórica'!$D$13*5/100)*35/100),0)</f>
        <v>0</v>
      </c>
      <c r="G29" s="8">
        <f>IF(AND('Cálculo de necesidades calórica'!$B$10&gt;=50,'Cálculo de necesidades calórica'!$B$10&lt;=59,'Cálculo de necesidades calórica'!$D$12&gt;=30,'Cálculo de necesidades calórica'!$F$10="h",'Cálculo de necesidades calórica'!$E$10="ligera"),(42*'Cálculo de necesidades calórica'!$D$13-42*'Cálculo de necesidades calórica'!$D$13*10/100)-((42*'Cálculo de necesidades calórica'!$D$13-42*'Cálculo de necesidades calórica'!$D$13*10/100)*35/100),0)</f>
        <v>0</v>
      </c>
      <c r="H29" s="8">
        <f>IF(AND('Cálculo de necesidades calórica'!$B$10&gt;=60,'Cálculo de necesidades calórica'!$B$10&lt;=69,'Cálculo de necesidades calórica'!$D$12&gt;=30,'Cálculo de necesidades calórica'!$F$10="h",'Cálculo de necesidades calórica'!$E$10="ligera"),(42*'Cálculo de necesidades calórica'!$D$13-42*'Cálculo de necesidades calórica'!$D$13*20/100)-((42*'Cálculo de necesidades calórica'!$D$13-42*'Cálculo de necesidades calórica'!$D$13*20/100)*35/100),0)</f>
        <v>0</v>
      </c>
      <c r="I29" s="8">
        <f>IF(AND('Cálculo de necesidades calórica'!$B$10&gt;=70,'Cálculo de necesidades calórica'!$D$12&gt;=30,'Cálculo de necesidades calórica'!$F$10="h",'Cálculo de necesidades calórica'!$E$10="ligera"),(42*'Cálculo de necesidades calórica'!$D$13-42*'Cálculo de necesidades calórica'!$D$13*30/100)-((42*'Cálculo de necesidades calórica'!$D$13-42*'Cálculo de necesidades calórica'!$D$13*30/100)*35/100),0)</f>
        <v>0</v>
      </c>
    </row>
    <row r="30" spans="4:9" ht="15">
      <c r="D30" s="7" t="s">
        <v>45</v>
      </c>
      <c r="E30" s="8">
        <f>IF(AND('Cálculo de necesidades calórica'!$B$10&lt;40,'Cálculo de necesidades calórica'!$D$12&gt;=30,'Cálculo de necesidades calórica'!$F$10="m",'Cálculo de necesidades calórica'!$E$10="ligera"),36*'Cálculo de necesidades calórica'!$D$13-36*'Cálculo de necesidades calórica'!$D$13*35/100,0)</f>
        <v>0</v>
      </c>
      <c r="F30" s="8">
        <f>IF(AND('Cálculo de necesidades calórica'!$B$10&gt;=40,'Cálculo de necesidades calórica'!$B$10&lt;=49,'Cálculo de necesidades calórica'!$D$12&gt;=30,'Cálculo de necesidades calórica'!$F$10="m",'Cálculo de necesidades calórica'!$E$10="ligera"),(36*'Cálculo de necesidades calórica'!$D$13-36*'Cálculo de necesidades calórica'!$D$13*5/100)-((36*'Cálculo de necesidades calórica'!$D$13-36*'Cálculo de necesidades calórica'!$D$13*5/100)*35/100),0)</f>
        <v>0</v>
      </c>
      <c r="G30" s="8">
        <f>IF(AND('Cálculo de necesidades calórica'!$B$10&gt;=50,'Cálculo de necesidades calórica'!$B$10&lt;=59,'Cálculo de necesidades calórica'!$D$12&gt;=30,'Cálculo de necesidades calórica'!$F$10="m",'Cálculo de necesidades calórica'!$E$10="ligera"),(36*'Cálculo de necesidades calórica'!$D$13-36*'Cálculo de necesidades calórica'!$D$13*10/100)-((36*'Cálculo de necesidades calórica'!$D$13-36*'Cálculo de necesidades calórica'!$D$13*10/100)*35/100),0)</f>
        <v>0</v>
      </c>
      <c r="H30" s="8">
        <f>IF(AND('Cálculo de necesidades calórica'!$B$10&gt;=60,'Cálculo de necesidades calórica'!$B$10&lt;=69,'Cálculo de necesidades calórica'!$D$12&gt;=30,'Cálculo de necesidades calórica'!$F$10="m",'Cálculo de necesidades calórica'!$E$10="ligera"),(36*'Cálculo de necesidades calórica'!$D$13-36*'Cálculo de necesidades calórica'!$D$13*20/100)-((36*'Cálculo de necesidades calórica'!$D$13-36*'Cálculo de necesidades calórica'!$D$13*20/100)*35/100),0)</f>
        <v>0</v>
      </c>
      <c r="I30" s="8">
        <f>IF(AND('Cálculo de necesidades calórica'!$B$10&gt;=70,'Cálculo de necesidades calórica'!$D$12&gt;=30,'Cálculo de necesidades calórica'!$F$10="m",'Cálculo de necesidades calórica'!$E$10="ligera"),(36*'Cálculo de necesidades calórica'!$D$13-36*'Cálculo de necesidades calórica'!$D$13*30/100)-((36*'Cálculo de necesidades calórica'!$D$13-36*'Cálculo de necesidades calórica'!$D$13*30/100)*35/100),0)</f>
        <v>0</v>
      </c>
    </row>
    <row r="31" spans="4:9" ht="15">
      <c r="D31" s="7" t="s">
        <v>46</v>
      </c>
      <c r="E31" s="8">
        <f>IF(AND('Cálculo de necesidades calórica'!$B$10&lt;40,'Cálculo de necesidades calórica'!$D$12&gt;=30,'Cálculo de necesidades calórica'!$F$10="h",'Cálculo de necesidades calórica'!$E$10="media"),46*'Cálculo de necesidades calórica'!$D$13-46*'Cálculo de necesidades calórica'!$D$13*35/100,0)</f>
        <v>0</v>
      </c>
      <c r="F31" s="8">
        <f>IF(AND('Cálculo de necesidades calórica'!$B$10&gt;=40,'Cálculo de necesidades calórica'!$B$10&lt;=49,'Cálculo de necesidades calórica'!$D$12&gt;=30,'Cálculo de necesidades calórica'!$F$10="h",'Cálculo de necesidades calórica'!$E$10="media"),(46*'Cálculo de necesidades calórica'!$D$13-46*'Cálculo de necesidades calórica'!$D$13*5/100)-((46*'Cálculo de necesidades calórica'!$D$13-46*'Cálculo de necesidades calórica'!$D$13*5/100)*35/100),0)</f>
        <v>2012.744214</v>
      </c>
      <c r="G31" s="8">
        <f>IF(AND('Cálculo de necesidades calórica'!$B$10&gt;=50,'Cálculo de necesidades calórica'!$B$10&lt;=59,'Cálculo de necesidades calórica'!$D$12&gt;=30,'Cálculo de necesidades calórica'!$F$10="h",'Cálculo de necesidades calórica'!$E$10="media"),(46*'Cálculo de necesidades calórica'!$D$13-46*'Cálculo de necesidades calórica'!$D$13*10/100)-((46*'Cálculo de necesidades calórica'!$D$13-46*'Cálculo de necesidades calórica'!$D$13*10/100)*35/100),0)</f>
        <v>0</v>
      </c>
      <c r="H31" s="8">
        <f>IF(AND('Cálculo de necesidades calórica'!$B$10&gt;=60,'Cálculo de necesidades calórica'!$B$10&lt;=69,'Cálculo de necesidades calórica'!$D$12&gt;=30,'Cálculo de necesidades calórica'!$F$10="h",'Cálculo de necesidades calórica'!$E$10="media"),(46*'Cálculo de necesidades calórica'!$D$13-46*'Cálculo de necesidades calórica'!$D$13*20/100)-((46*'Cálculo de necesidades calórica'!$D$13-46*'Cálculo de necesidades calórica'!$D$13*20/100)*35/100),0)</f>
        <v>0</v>
      </c>
      <c r="I31" s="8">
        <f>IF(AND('Cálculo de necesidades calórica'!$B$10&gt;=70,'Cálculo de necesidades calórica'!$D$12&gt;=30,'Cálculo de necesidades calórica'!$F$10="h",'Cálculo de necesidades calórica'!$E$10="media"),(46*'Cálculo de necesidades calórica'!$D$13-46*'Cálculo de necesidades calórica'!$D$13*30/100)-((46*'Cálculo de necesidades calórica'!$D$13-46*'Cálculo de necesidades calórica'!$D$13*30/100)*35/100),0)</f>
        <v>0</v>
      </c>
    </row>
    <row r="32" spans="4:9" ht="15">
      <c r="D32" s="7" t="s">
        <v>47</v>
      </c>
      <c r="E32" s="8">
        <f>IF(AND('Cálculo de necesidades calórica'!$B$10&lt;40,'Cálculo de necesidades calórica'!$D$12&gt;=30,'Cálculo de necesidades calórica'!$F$10="m",'Cálculo de necesidades calórica'!$E$10="media"),40*'Cálculo de necesidades calórica'!$D$13-40*'Cálculo de necesidades calórica'!$D$13*35/100,0)</f>
        <v>0</v>
      </c>
      <c r="F32" s="8">
        <f>IF(AND('Cálculo de necesidades calórica'!$B$10&gt;=40,'Cálculo de necesidades calórica'!$B$10&lt;=49,'Cálculo de necesidades calórica'!$D$12&gt;=30,'Cálculo de necesidades calórica'!$F$10="m",'Cálculo de necesidades calórica'!$E$10="media"),(40*'Cálculo de necesidades calórica'!$D$13-40*'Cálculo de necesidades calórica'!$D$13*5/100)-((40*'Cálculo de necesidades calórica'!$D$13-40*'Cálculo de necesidades calórica'!$D$13*5/100)*35/100),0)</f>
        <v>0</v>
      </c>
      <c r="G32" s="8">
        <f>IF(AND('Cálculo de necesidades calórica'!$B$10&gt;=50,'Cálculo de necesidades calórica'!$B$10&lt;=59,'Cálculo de necesidades calórica'!$D$12&gt;=30,'Cálculo de necesidades calórica'!$F$10="m",'Cálculo de necesidades calórica'!$E$10="media"),(40*'Cálculo de necesidades calórica'!$D$13-40*'Cálculo de necesidades calórica'!$D$13*10/100)-((40*'Cálculo de necesidades calórica'!$D$13-40*'Cálculo de necesidades calórica'!$D$13*10/100)*35/100),0)</f>
        <v>0</v>
      </c>
      <c r="H32" s="8">
        <f>IF(AND('Cálculo de necesidades calórica'!$B$10&gt;=60,'Cálculo de necesidades calórica'!$B$10&lt;=69,'Cálculo de necesidades calórica'!$D$12&gt;=30,'Cálculo de necesidades calórica'!$F$10="m",'Cálculo de necesidades calórica'!$E$10="media"),(40*'Cálculo de necesidades calórica'!$D$13-40*'Cálculo de necesidades calórica'!$D$13*20/100)-((40*'Cálculo de necesidades calórica'!$D$13-40*'Cálculo de necesidades calórica'!$D$13*20/100)*35/100),0)</f>
        <v>0</v>
      </c>
      <c r="I32" s="8">
        <f>IF(AND('Cálculo de necesidades calórica'!$B$10&gt;=70,'Cálculo de necesidades calórica'!$D$12&gt;=30,'Cálculo de necesidades calórica'!$F$10="m",'Cálculo de necesidades calórica'!$E$10="media"),(40*'Cálculo de necesidades calórica'!$D$13-40*'Cálculo de necesidades calórica'!$D$13*30/100)-((40*'Cálculo de necesidades calórica'!$D$13-40*'Cálculo de necesidades calórica'!$D$13*30/100)*35/100),0)</f>
        <v>0</v>
      </c>
    </row>
    <row r="33" spans="4:9" ht="15">
      <c r="D33" s="7" t="s">
        <v>48</v>
      </c>
      <c r="E33" s="8">
        <f>IF(AND('Cálculo de necesidades calórica'!$B$10&lt;40,'Cálculo de necesidades calórica'!$D$12&gt;=30,'Cálculo de necesidades calórica'!$F$10="h",'Cálculo de necesidades calórica'!$E$10="intensa"),54*'Cálculo de necesidades calórica'!$D$13-54*'Cálculo de necesidades calórica'!$D$13*35/100,0)</f>
        <v>0</v>
      </c>
      <c r="F33" s="8">
        <f>IF(AND('Cálculo de necesidades calórica'!$B$10&gt;=40,'Cálculo de necesidades calórica'!$B$10&lt;=49,'Cálculo de necesidades calórica'!$D$12&gt;=30,'Cálculo de necesidades calórica'!$F$10="h",'Cálculo de necesidades calórica'!$E$10="intensa"),(54*'Cálculo de necesidades calórica'!$D$13-54*'Cálculo de necesidades calórica'!$D$13*5/100)-((54*'Cálculo de necesidades calórica'!$D$13-54*'Cálculo de necesidades calórica'!$D$13*5/100)*35/100),0)</f>
        <v>0</v>
      </c>
      <c r="G33" s="8">
        <f>IF(AND('Cálculo de necesidades calórica'!$B$10&gt;=50,'Cálculo de necesidades calórica'!$B$10&lt;=59,'Cálculo de necesidades calórica'!$D$12&gt;=30,'Cálculo de necesidades calórica'!$F$10="h",'Cálculo de necesidades calórica'!$E$10="intensa"),(54*'Cálculo de necesidades calórica'!$D$13-54*'Cálculo de necesidades calórica'!$D$13*10/100)-((54*'Cálculo de necesidades calórica'!$D$13-54*'Cálculo de necesidades calórica'!$D$13*10/100)*35/100),0)</f>
        <v>0</v>
      </c>
      <c r="H33" s="8">
        <f>IF(AND('Cálculo de necesidades calórica'!$B$10&gt;=60,'Cálculo de necesidades calórica'!$B$10&lt;=69,'Cálculo de necesidades calórica'!$D$12&gt;=30,'Cálculo de necesidades calórica'!$F$10="h",'Cálculo de necesidades calórica'!$E$10="intensa"),(54*'Cálculo de necesidades calórica'!$D$13-54*'Cálculo de necesidades calórica'!$D$13*20/100)-((54*'Cálculo de necesidades calórica'!$D$13-54*'Cálculo de necesidades calórica'!$D$13*20/100)*35/100),0)</f>
        <v>0</v>
      </c>
      <c r="I33" s="8">
        <f>IF(AND('Cálculo de necesidades calórica'!$B$10&gt;=70,'Cálculo de necesidades calórica'!$D$12&gt;=30,'Cálculo de necesidades calórica'!$F$10="h",'Cálculo de necesidades calórica'!$E$10="intensa"),(54*'Cálculo de necesidades calórica'!$D$13-54*'Cálculo de necesidades calórica'!$D$13*30/100)-((54*'Cálculo de necesidades calórica'!$D$13-54*'Cálculo de necesidades calórica'!$D$13*30/100)*35/100),0)</f>
        <v>0</v>
      </c>
    </row>
    <row r="34" spans="4:9" ht="15">
      <c r="D34" s="7" t="s">
        <v>49</v>
      </c>
      <c r="E34" s="8">
        <f>IF(AND('Cálculo de necesidades calórica'!$B$10&lt;40,'Cálculo de necesidades calórica'!$D$12&gt;=30,'Cálculo de necesidades calórica'!$F$10="m",'Cálculo de necesidades calórica'!$E$10="intensa"),47*'Cálculo de necesidades calórica'!$D$13-47*'Cálculo de necesidades calórica'!$D$13*35/100,0)</f>
        <v>0</v>
      </c>
      <c r="F34" s="8">
        <f>IF(AND('Cálculo de necesidades calórica'!$B$10&gt;=40,'Cálculo de necesidades calórica'!$B$10&lt;=49,'Cálculo de necesidades calórica'!$D$12&gt;=30,'Cálculo de necesidades calórica'!$F$10="m",'Cálculo de necesidades calórica'!$E$10="intensa"),(47*'Cálculo de necesidades calórica'!$D$13-47*'Cálculo de necesidades calórica'!$D$13*5/100)-((47*'Cálculo de necesidades calórica'!$D$13-47*'Cálculo de necesidades calórica'!$D$13*5/100)*35/100),0)</f>
        <v>0</v>
      </c>
      <c r="G34" s="8">
        <f>IF(AND('Cálculo de necesidades calórica'!$B$10&gt;=50,'Cálculo de necesidades calórica'!$B$10&lt;=59,'Cálculo de necesidades calórica'!$D$12&gt;=30,'Cálculo de necesidades calórica'!$F$10="m",'Cálculo de necesidades calórica'!$E$10="intensa"),(47*'Cálculo de necesidades calórica'!$D$13-47*'Cálculo de necesidades calórica'!$D$13*10/100)-((47*'Cálculo de necesidades calórica'!$D$13-47*'Cálculo de necesidades calórica'!$D$13*10/100)*35/100),0)</f>
        <v>0</v>
      </c>
      <c r="H34" s="8">
        <f>IF(AND('Cálculo de necesidades calórica'!$B$10&gt;=60,'Cálculo de necesidades calórica'!$B$10&lt;=69,'Cálculo de necesidades calórica'!$D$12&gt;=30,'Cálculo de necesidades calórica'!$F$10="m",'Cálculo de necesidades calórica'!$E$10="intensa"),(47*'Cálculo de necesidades calórica'!$D$13-47*'Cálculo de necesidades calórica'!$D$13*20/100)-((47*'Cálculo de necesidades calórica'!$D$13-47*'Cálculo de necesidades calórica'!$D$13*20/100)*35/100),0)</f>
        <v>0</v>
      </c>
      <c r="I34" s="8">
        <f>IF(AND('Cálculo de necesidades calórica'!$B$10&gt;=70,'Cálculo de necesidades calórica'!$D$12&gt;=30,'Cálculo de necesidades calórica'!$F$10="m",'Cálculo de necesidades calórica'!$E$10="intensa"),(47*'Cálculo de necesidades calórica'!$D$13-47*'Cálculo de necesidades calórica'!$D$13*30/100)-((47*'Cálculo de necesidades calórica'!$D$13-47*'Cálculo de necesidades calórica'!$D$13*30/100)*35/100),0)</f>
        <v>0</v>
      </c>
    </row>
    <row r="37" ht="15">
      <c r="D37" t="s">
        <v>50</v>
      </c>
    </row>
    <row r="38" ht="15">
      <c r="D38" t="s">
        <v>51</v>
      </c>
    </row>
    <row r="39" ht="15">
      <c r="D39" t="s">
        <v>52</v>
      </c>
    </row>
    <row r="40" ht="15">
      <c r="D40" t="s">
        <v>53</v>
      </c>
    </row>
    <row r="43" ht="15">
      <c r="D43" t="s">
        <v>54</v>
      </c>
    </row>
    <row r="44" ht="15">
      <c r="D44" t="s">
        <v>55</v>
      </c>
    </row>
    <row r="45" ht="15">
      <c r="D45" t="s">
        <v>56</v>
      </c>
    </row>
    <row r="46" ht="15">
      <c r="D46" t="s">
        <v>57</v>
      </c>
    </row>
  </sheetData>
  <sheetProtection password="F4F2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F32"/>
  <sheetViews>
    <sheetView zoomScalePageLayoutView="0" workbookViewId="0" topLeftCell="A1">
      <selection activeCell="C6" sqref="C6"/>
    </sheetView>
  </sheetViews>
  <sheetFormatPr defaultColWidth="11.421875" defaultRowHeight="15"/>
  <cols>
    <col min="1" max="3" width="11.421875" style="58" customWidth="1"/>
    <col min="4" max="4" width="15.7109375" style="58" bestFit="1" customWidth="1"/>
    <col min="5" max="16384" width="11.421875" style="58" customWidth="1"/>
  </cols>
  <sheetData>
    <row r="4" ht="21">
      <c r="B4" s="87" t="s">
        <v>86</v>
      </c>
    </row>
    <row r="5" ht="15">
      <c r="C5" s="58" t="s">
        <v>92</v>
      </c>
    </row>
    <row r="7" spans="2:3" ht="15">
      <c r="B7" s="58" t="s">
        <v>78</v>
      </c>
      <c r="C7" s="58" t="str">
        <f>'Cálculo de necesidades calórica'!$C$7</f>
        <v>Juan Español</v>
      </c>
    </row>
    <row r="8" ht="15">
      <c r="E8" s="61"/>
    </row>
    <row r="9" spans="2:6" ht="15">
      <c r="B9" s="58" t="s">
        <v>79</v>
      </c>
      <c r="E9" s="74">
        <f>'Cálculo de necesidades calórica'!$D$17</f>
        <v>2012.744214</v>
      </c>
      <c r="F9" s="58" t="s">
        <v>85</v>
      </c>
    </row>
    <row r="11" ht="15">
      <c r="B11" s="58" t="s">
        <v>80</v>
      </c>
    </row>
    <row r="13" ht="15">
      <c r="B13" s="58" t="s">
        <v>81</v>
      </c>
    </row>
    <row r="14" ht="15.75" thickBot="1"/>
    <row r="15" spans="2:6" ht="15">
      <c r="B15" s="75" t="s">
        <v>84</v>
      </c>
      <c r="C15" s="76"/>
      <c r="D15" s="76"/>
      <c r="E15" s="76"/>
      <c r="F15" s="77"/>
    </row>
    <row r="16" spans="2:6" ht="15">
      <c r="B16" s="78"/>
      <c r="C16" s="61"/>
      <c r="D16" s="61"/>
      <c r="E16" s="61"/>
      <c r="F16" s="79"/>
    </row>
    <row r="17" spans="2:6" ht="15">
      <c r="B17" s="72" t="s">
        <v>8</v>
      </c>
      <c r="C17" s="80">
        <f>'Cálculo de necesidades calórica'!E20</f>
        <v>3.7738954012500003</v>
      </c>
      <c r="D17" s="61" t="s">
        <v>83</v>
      </c>
      <c r="E17" s="61"/>
      <c r="F17" s="79"/>
    </row>
    <row r="18" spans="2:6" ht="15">
      <c r="B18" s="71" t="s">
        <v>10</v>
      </c>
      <c r="C18" s="80">
        <f>'Cálculo de necesidades calórica'!E21</f>
        <v>2.5159302675</v>
      </c>
      <c r="D18" s="61" t="s">
        <v>83</v>
      </c>
      <c r="E18" s="61"/>
      <c r="F18" s="79"/>
    </row>
    <row r="19" spans="2:6" ht="15">
      <c r="B19" s="72" t="s">
        <v>11</v>
      </c>
      <c r="C19" s="80">
        <f>'Cálculo de necesidades calórica'!E22</f>
        <v>7.547790802500001</v>
      </c>
      <c r="D19" s="61" t="s">
        <v>83</v>
      </c>
      <c r="E19" s="61"/>
      <c r="F19" s="79"/>
    </row>
    <row r="20" spans="2:6" ht="15">
      <c r="B20" s="72" t="s">
        <v>12</v>
      </c>
      <c r="C20" s="80">
        <f>'Cálculo de necesidades calórica'!E23</f>
        <v>3.7738954012500003</v>
      </c>
      <c r="D20" s="61" t="s">
        <v>83</v>
      </c>
      <c r="E20" s="61"/>
      <c r="F20" s="79"/>
    </row>
    <row r="21" spans="2:6" ht="15.75" thickBot="1">
      <c r="B21" s="73" t="s">
        <v>13</v>
      </c>
      <c r="C21" s="81">
        <f>'Cálculo de necesidades calórica'!E24</f>
        <v>7.547790802500001</v>
      </c>
      <c r="D21" s="82" t="s">
        <v>83</v>
      </c>
      <c r="E21" s="82"/>
      <c r="F21" s="83"/>
    </row>
    <row r="23" ht="15.75" thickBot="1"/>
    <row r="24" spans="2:6" ht="15">
      <c r="B24" s="75" t="s">
        <v>82</v>
      </c>
      <c r="C24" s="76"/>
      <c r="D24" s="76"/>
      <c r="E24" s="76"/>
      <c r="F24" s="77"/>
    </row>
    <row r="25" spans="2:6" ht="15">
      <c r="B25" s="78"/>
      <c r="C25" s="61"/>
      <c r="D25" s="61"/>
      <c r="E25" s="61"/>
      <c r="F25" s="79"/>
    </row>
    <row r="26" spans="2:6" ht="15">
      <c r="B26" s="78" t="str">
        <f>'Cálculo de necesidades calórica'!B27</f>
        <v>Desayuno:</v>
      </c>
      <c r="C26" s="84">
        <f>'Cálculo de necesidades calórica'!E27</f>
        <v>5.031860535</v>
      </c>
      <c r="D26" s="61" t="s">
        <v>83</v>
      </c>
      <c r="E26" s="61"/>
      <c r="F26" s="79"/>
    </row>
    <row r="27" spans="2:6" ht="15">
      <c r="B27" s="78" t="str">
        <f>'Cálculo de necesidades calórica'!B28</f>
        <v>Almuerzo:</v>
      </c>
      <c r="C27" s="84">
        <f>'Cálculo de necesidades calórica'!E28</f>
        <v>10.06372107</v>
      </c>
      <c r="D27" s="61" t="s">
        <v>83</v>
      </c>
      <c r="E27" s="61"/>
      <c r="F27" s="79"/>
    </row>
    <row r="28" spans="2:6" ht="15.75" thickBot="1">
      <c r="B28" s="85" t="str">
        <f>'Cálculo de necesidades calórica'!B29</f>
        <v>Cena:</v>
      </c>
      <c r="C28" s="86">
        <f>'Cálculo de necesidades calórica'!E29</f>
        <v>10.06372107</v>
      </c>
      <c r="D28" s="82" t="s">
        <v>83</v>
      </c>
      <c r="E28" s="82"/>
      <c r="F28" s="83"/>
    </row>
    <row r="32" spans="2:4" ht="15">
      <c r="B32" s="58" t="s">
        <v>88</v>
      </c>
      <c r="D32" s="88">
        <f ca="1">NOW()</f>
        <v>41435.48233622685</v>
      </c>
    </row>
  </sheetData>
  <sheetProtection password="F4F2" sheet="1" objects="1" scenarios="1" selectLockedCells="1" selectUnlockedCell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2013-06-07T13:33:17Z</cp:lastPrinted>
  <dcterms:created xsi:type="dcterms:W3CDTF">2013-06-03T21:28:38Z</dcterms:created>
  <dcterms:modified xsi:type="dcterms:W3CDTF">2013-06-10T09:34:36Z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